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0fe5e773d111b2/福島県バドミントン協会ＨＰ/各書式/"/>
    </mc:Choice>
  </mc:AlternateContent>
  <xr:revisionPtr revIDLastSave="0" documentId="8_{0093BFA4-29DC-4332-A6E5-8117C4F8C7BC}" xr6:coauthVersionLast="47" xr6:coauthVersionMax="47" xr10:uidLastSave="{00000000-0000-0000-0000-000000000000}"/>
  <bookViews>
    <workbookView xWindow="-110" yWindow="-110" windowWidth="19420" windowHeight="10300" xr2:uid="{13E81CBC-BA6A-4E8C-A1A8-DDEE15E80C4A}"/>
  </bookViews>
  <sheets>
    <sheet name="①ダブルス" sheetId="1" r:id="rId1"/>
    <sheet name="②シングルス" sheetId="2" r:id="rId2"/>
    <sheet name="③参加料集計表" sheetId="3" r:id="rId3"/>
  </sheets>
  <definedNames>
    <definedName name="_xlnm.Print_Area" localSheetId="0">①ダブルス!$A$1:$N$36</definedName>
    <definedName name="_xlnm.Print_Area" localSheetId="1">②シングルス!$A$1:$L$34</definedName>
    <definedName name="_xlnm.Print_Area" localSheetId="2">③参加料集計表!$A$1:$I$42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" l="1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9" i="2"/>
  <c r="H8" i="2"/>
  <c r="H28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10" i="1"/>
  <c r="H9" i="1"/>
  <c r="M31" i="1"/>
  <c r="D29" i="3" s="1"/>
  <c r="G29" i="3" s="1"/>
  <c r="M30" i="1"/>
  <c r="D28" i="3" s="1"/>
  <c r="G28" i="3" s="1"/>
  <c r="K33" i="1"/>
  <c r="K32" i="1"/>
  <c r="F8" i="2"/>
  <c r="F27" i="2"/>
  <c r="F21" i="2"/>
  <c r="F22" i="2"/>
  <c r="F23" i="2"/>
  <c r="F24" i="2"/>
  <c r="F25" i="2"/>
  <c r="F10" i="2"/>
  <c r="F11" i="2"/>
  <c r="F12" i="2"/>
  <c r="F13" i="2"/>
  <c r="F14" i="2"/>
  <c r="F15" i="2"/>
  <c r="F16" i="2"/>
  <c r="F17" i="2"/>
  <c r="F18" i="2"/>
  <c r="F19" i="2"/>
  <c r="F20" i="2"/>
  <c r="F9" i="2"/>
  <c r="F9" i="1"/>
  <c r="D9" i="3"/>
  <c r="I32" i="2"/>
  <c r="I31" i="2"/>
  <c r="I30" i="2"/>
  <c r="I29" i="2"/>
  <c r="G34" i="2"/>
  <c r="G33" i="2"/>
  <c r="G32" i="2"/>
  <c r="G31" i="2"/>
  <c r="G30" i="2"/>
  <c r="G29" i="2"/>
  <c r="E34" i="2"/>
  <c r="E33" i="2"/>
  <c r="E32" i="2"/>
  <c r="E31" i="2"/>
  <c r="E30" i="2"/>
  <c r="E29" i="2"/>
  <c r="C34" i="2"/>
  <c r="C33" i="2"/>
  <c r="C32" i="2"/>
  <c r="C31" i="2"/>
  <c r="C30" i="2"/>
  <c r="C29" i="2"/>
  <c r="F2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10" i="1"/>
  <c r="C30" i="1"/>
  <c r="K34" i="1"/>
  <c r="K31" i="1"/>
  <c r="K30" i="1"/>
  <c r="I36" i="1"/>
  <c r="I35" i="1"/>
  <c r="I34" i="1"/>
  <c r="I33" i="1"/>
  <c r="I32" i="1"/>
  <c r="I31" i="1"/>
  <c r="I30" i="1"/>
  <c r="G36" i="1"/>
  <c r="G35" i="1"/>
  <c r="G34" i="1"/>
  <c r="G33" i="1"/>
  <c r="G32" i="1"/>
  <c r="G31" i="1"/>
  <c r="G30" i="1"/>
  <c r="E36" i="1"/>
  <c r="E35" i="1"/>
  <c r="E34" i="1"/>
  <c r="E33" i="1"/>
  <c r="E32" i="1"/>
  <c r="E31" i="1"/>
  <c r="E30" i="1"/>
  <c r="C36" i="1"/>
  <c r="C35" i="1"/>
  <c r="C34" i="1"/>
  <c r="C33" i="1"/>
  <c r="C32" i="1"/>
  <c r="C31" i="1"/>
  <c r="K29" i="2"/>
  <c r="D26" i="3" s="1"/>
  <c r="G26" i="3" s="1"/>
  <c r="K30" i="2"/>
  <c r="D27" i="3" s="1"/>
  <c r="G27" i="3" s="1"/>
  <c r="F29" i="1"/>
  <c r="F26" i="2"/>
  <c r="G28" i="2"/>
  <c r="G29" i="1"/>
  <c r="C5" i="3"/>
  <c r="F28" i="2"/>
  <c r="L28" i="2"/>
  <c r="D31" i="3" s="1"/>
  <c r="G31" i="3" s="1"/>
  <c r="L29" i="1"/>
  <c r="D8" i="3"/>
  <c r="A1" i="2"/>
  <c r="B2" i="3"/>
  <c r="D11" i="3"/>
  <c r="D10" i="3"/>
  <c r="I3" i="2"/>
  <c r="I2" i="2"/>
  <c r="E3" i="2"/>
  <c r="E2" i="2"/>
  <c r="M32" i="1" l="1"/>
  <c r="D30" i="3" s="1"/>
  <c r="G30" i="3" s="1"/>
  <c r="G33" i="3" s="1"/>
  <c r="K36" i="1"/>
  <c r="I3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岡田貫児</author>
    <author>User</author>
  </authors>
  <commentList>
    <comment ref="C9" authorId="0" shapeId="0" xr:uid="{3A96DF95-4795-4E83-ABF6-2B8712484BAC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名字と名前の間にスペースを入れて下さい。</t>
        </r>
      </text>
    </comment>
    <comment ref="D9" authorId="0" shapeId="0" xr:uid="{68A788D0-2514-4BD4-9B3E-95BFAEFC79B0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名字と名前の間にスペースを入れて下さい。</t>
        </r>
      </text>
    </comment>
    <comment ref="F9" authorId="1" shapeId="0" xr:uid="{90289A0B-B89D-4106-B385-DFC53E685EF3}">
      <text>
        <r>
          <rPr>
            <b/>
            <sz val="12"/>
            <color indexed="81"/>
            <rFont val="MS P ゴシック"/>
            <family val="3"/>
            <charset val="128"/>
          </rPr>
          <t>氏名を入力すれば金額が表示されます。</t>
        </r>
      </text>
    </comment>
    <comment ref="H9" authorId="1" shapeId="0" xr:uid="{02D0B628-BFA7-40A4-B5A0-7B44469A522A}">
      <text>
        <r>
          <rPr>
            <b/>
            <sz val="12"/>
            <color indexed="81"/>
            <rFont val="MS P ゴシック"/>
            <family val="3"/>
            <charset val="128"/>
          </rPr>
          <t>生年月日を入力すれば表示されます。
表示は2025年4月1時点の満年齢になります。</t>
        </r>
      </text>
    </comment>
    <comment ref="L9" authorId="0" shapeId="0" xr:uid="{19438478-E1B5-4ACA-B0A5-6E243A485837}">
      <text>
        <r>
          <rPr>
            <b/>
            <sz val="12"/>
            <color indexed="81"/>
            <rFont val="MS P ゴシック"/>
            <family val="3"/>
            <charset val="128"/>
          </rPr>
          <t>シングルスの申し込みで"未"を選択した人は，ダブルスを"済"で入力して下さい。
二重カウントになってしまいます。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岡田貫児</author>
  </authors>
  <commentList>
    <comment ref="E2" authorId="0" shapeId="0" xr:uid="{967277C1-9945-4E26-A603-2E2734FB293D}">
      <text>
        <r>
          <rPr>
            <b/>
            <sz val="9"/>
            <color indexed="81"/>
            <rFont val="MS P ゴシック"/>
            <family val="3"/>
            <charset val="128"/>
          </rPr>
          <t>①ダブルスシートで入力した値が転写されます。
ダブルスの申し込みがなくても，入力して下さい。</t>
        </r>
      </text>
    </comment>
    <comment ref="C8" authorId="1" shapeId="0" xr:uid="{ED5A42E9-19F2-4A29-A9E6-7A3E15EB631D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名字と名前の間にスペースを入れて下さい。</t>
        </r>
      </text>
    </comment>
    <comment ref="D8" authorId="1" shapeId="0" xr:uid="{91F814A4-2A77-4DE3-8A8C-6F6400008BB3}">
      <text>
        <r>
          <rPr>
            <b/>
            <sz val="9"/>
            <color indexed="81"/>
            <rFont val="MS P ゴシック"/>
            <family val="3"/>
            <charset val="128"/>
          </rPr>
          <t>名字と名前の間にスペースを入れて下さい。</t>
        </r>
      </text>
    </comment>
    <comment ref="F8" authorId="0" shapeId="0" xr:uid="{C567709B-66B0-4025-8EAB-2A93C9C7AD71}">
      <text>
        <r>
          <rPr>
            <b/>
            <sz val="9"/>
            <color indexed="81"/>
            <rFont val="MS P ゴシック"/>
            <family val="3"/>
            <charset val="128"/>
          </rPr>
          <t>氏名を入力すれば金額が入力されます。</t>
        </r>
      </text>
    </comment>
    <comment ref="H8" authorId="0" shapeId="0" xr:uid="{071A1178-B3CF-4EA0-AD84-55B45A5B0F10}">
      <text>
        <r>
          <rPr>
            <b/>
            <sz val="9"/>
            <color indexed="81"/>
            <rFont val="MS P ゴシック"/>
            <family val="3"/>
            <charset val="128"/>
          </rPr>
          <t>生年月日を入力すれば表示されます。
表示は2025年4月1時点の満年齢になります。</t>
        </r>
      </text>
    </comment>
    <comment ref="L8" authorId="1" shapeId="0" xr:uid="{E9E0EA57-AA6B-42EE-A727-52CD2750C1E0}">
      <text>
        <r>
          <rPr>
            <b/>
            <sz val="12"/>
            <color indexed="81"/>
            <rFont val="MS P ゴシック"/>
            <family val="3"/>
            <charset val="128"/>
          </rPr>
          <t>ダブルスの申し込みで"未"を選択した人は，シングルスを"済"で入力して下さい。
二重カウントになってしまいます。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岡田貫児</author>
  </authors>
  <commentList>
    <comment ref="C5" authorId="0" shapeId="0" xr:uid="{DF6641D5-AB21-4765-B6AC-271DDC651751}">
      <text>
        <r>
          <rPr>
            <b/>
            <sz val="9"/>
            <color indexed="81"/>
            <rFont val="MS P ゴシック"/>
            <family val="3"/>
            <charset val="128"/>
          </rPr>
          <t>作成日が自動で入力されます。</t>
        </r>
      </text>
    </comment>
    <comment ref="D8" authorId="1" shapeId="0" xr:uid="{08874C39-1591-4F4C-955C-42A1AA155BE5}">
      <text>
        <r>
          <rPr>
            <b/>
            <sz val="9"/>
            <color indexed="81"/>
            <rFont val="MS P ゴシック"/>
            <family val="3"/>
            <charset val="128"/>
          </rPr>
          <t>ダブルスシートより転写されます。
修正はダブルスシートを変更して下さい。</t>
        </r>
      </text>
    </comment>
  </commentList>
</comments>
</file>

<file path=xl/sharedStrings.xml><?xml version="1.0" encoding="utf-8"?>
<sst xmlns="http://schemas.openxmlformats.org/spreadsheetml/2006/main" count="231" uniqueCount="131">
  <si>
    <t>No.</t>
    <phoneticPr fontId="1"/>
  </si>
  <si>
    <t>氏名</t>
    <rPh sb="0" eb="2">
      <t>シメイ</t>
    </rPh>
    <phoneticPr fontId="1"/>
  </si>
  <si>
    <t>ふりがな</t>
    <phoneticPr fontId="1"/>
  </si>
  <si>
    <t>所属</t>
    <rPh sb="0" eb="2">
      <t>ショゾク</t>
    </rPh>
    <phoneticPr fontId="1"/>
  </si>
  <si>
    <t>満年齢</t>
    <rPh sb="0" eb="3">
      <t>マンネンレイ</t>
    </rPh>
    <phoneticPr fontId="1"/>
  </si>
  <si>
    <t>例</t>
    <rPh sb="0" eb="1">
      <t>レイ</t>
    </rPh>
    <phoneticPr fontId="1"/>
  </si>
  <si>
    <t>山田　太郎</t>
    <rPh sb="0" eb="2">
      <t>ヤマダ</t>
    </rPh>
    <rPh sb="3" eb="5">
      <t>タロウ</t>
    </rPh>
    <phoneticPr fontId="1"/>
  </si>
  <si>
    <t>福島　花子</t>
    <rPh sb="0" eb="2">
      <t>フクシマ</t>
    </rPh>
    <rPh sb="3" eb="5">
      <t>ハナコ</t>
    </rPh>
    <phoneticPr fontId="1"/>
  </si>
  <si>
    <t>県北</t>
    <rPh sb="0" eb="1">
      <t>ケン</t>
    </rPh>
    <rPh sb="1" eb="2">
      <t>キタ</t>
    </rPh>
    <phoneticPr fontId="1"/>
  </si>
  <si>
    <t>県南</t>
    <rPh sb="0" eb="2">
      <t>ケンナン</t>
    </rPh>
    <phoneticPr fontId="1"/>
  </si>
  <si>
    <t>生年月日　　　（西暦）</t>
    <rPh sb="0" eb="2">
      <t>セイネン</t>
    </rPh>
    <rPh sb="2" eb="4">
      <t>ガッピ</t>
    </rPh>
    <rPh sb="8" eb="10">
      <t>セイレキ</t>
    </rPh>
    <phoneticPr fontId="1"/>
  </si>
  <si>
    <t>福島愛好会</t>
    <rPh sb="0" eb="2">
      <t>フクシマ</t>
    </rPh>
    <rPh sb="2" eb="5">
      <t>アイコウカイ</t>
    </rPh>
    <phoneticPr fontId="1"/>
  </si>
  <si>
    <t>福島BC</t>
    <rPh sb="0" eb="2">
      <t>フクシマ</t>
    </rPh>
    <phoneticPr fontId="1"/>
  </si>
  <si>
    <t>日バNo.(10桁）</t>
    <rPh sb="0" eb="1">
      <t>ニチ</t>
    </rPh>
    <rPh sb="8" eb="9">
      <t>ケタ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</si>
  <si>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</si>
  <si>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</si>
  <si>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年齢区分</t>
    <rPh sb="0" eb="4">
      <t>ネンレイクブン</t>
    </rPh>
    <phoneticPr fontId="1"/>
  </si>
  <si>
    <t>一般</t>
    <rPh sb="0" eb="2">
      <t>イッパン</t>
    </rPh>
    <phoneticPr fontId="1"/>
  </si>
  <si>
    <t>会津</t>
    <rPh sb="0" eb="2">
      <t>アイズ</t>
    </rPh>
    <phoneticPr fontId="1"/>
  </si>
  <si>
    <t>いわき</t>
    <phoneticPr fontId="1"/>
  </si>
  <si>
    <t>県北</t>
    <rPh sb="0" eb="2">
      <t>ケンポク</t>
    </rPh>
    <phoneticPr fontId="1"/>
  </si>
  <si>
    <t>県中</t>
    <rPh sb="0" eb="2">
      <t>ケンチュウ</t>
    </rPh>
    <phoneticPr fontId="1"/>
  </si>
  <si>
    <t>相双</t>
    <rPh sb="0" eb="2">
      <t>ソウソウ</t>
    </rPh>
    <phoneticPr fontId="1"/>
  </si>
  <si>
    <t>ふるさと</t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</si>
  <si>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</si>
  <si>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tel：</t>
    <phoneticPr fontId="1"/>
  </si>
  <si>
    <t>e-mail：</t>
    <phoneticPr fontId="1"/>
  </si>
  <si>
    <t>MS</t>
    <phoneticPr fontId="1"/>
  </si>
  <si>
    <t>WS</t>
    <phoneticPr fontId="1"/>
  </si>
  <si>
    <t>申込み日</t>
    <rPh sb="0" eb="2">
      <t>モウシコ</t>
    </rPh>
    <rPh sb="3" eb="4">
      <t>ビ</t>
    </rPh>
    <phoneticPr fontId="1"/>
  </si>
  <si>
    <t>電話番号</t>
    <rPh sb="0" eb="4">
      <t>デンワバンゴウ</t>
    </rPh>
    <phoneticPr fontId="1"/>
  </si>
  <si>
    <t>＜参加費集計表＞</t>
    <rPh sb="1" eb="7">
      <t>サンカヒシュウケイヒョウ</t>
    </rPh>
    <phoneticPr fontId="1"/>
  </si>
  <si>
    <t>計算されている金額を所定の振込先に期日までにお振込ください</t>
    <rPh sb="0" eb="2">
      <t>ケイサン</t>
    </rPh>
    <rPh sb="7" eb="9">
      <t>キンガク</t>
    </rPh>
    <rPh sb="10" eb="12">
      <t>ショテイ</t>
    </rPh>
    <rPh sb="13" eb="16">
      <t>フリコミサキ</t>
    </rPh>
    <rPh sb="17" eb="19">
      <t>キジツ</t>
    </rPh>
    <rPh sb="23" eb="25">
      <t>フリコミ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</si>
  <si>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</si>
  <si>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</si>
  <si>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参加料</t>
    <rPh sb="0" eb="3">
      <t>サンカリョウ</t>
    </rPh>
    <phoneticPr fontId="1"/>
  </si>
  <si>
    <t>男子　単</t>
    <rPh sb="0" eb="2">
      <t>ダンシ</t>
    </rPh>
    <rPh sb="3" eb="4">
      <t>タン</t>
    </rPh>
    <phoneticPr fontId="1"/>
  </si>
  <si>
    <t>女子　単</t>
    <rPh sb="0" eb="2">
      <t>ジョシ</t>
    </rPh>
    <rPh sb="3" eb="4">
      <t>タン</t>
    </rPh>
    <phoneticPr fontId="1"/>
  </si>
  <si>
    <t>男子　複</t>
    <rPh sb="0" eb="2">
      <t>ダンシ</t>
    </rPh>
    <rPh sb="3" eb="4">
      <t>フク</t>
    </rPh>
    <phoneticPr fontId="1"/>
  </si>
  <si>
    <t>女子　複</t>
    <rPh sb="0" eb="2">
      <t>ジョシ</t>
    </rPh>
    <rPh sb="3" eb="4">
      <t>フク</t>
    </rPh>
    <phoneticPr fontId="1"/>
  </si>
  <si>
    <t>混合　複</t>
    <rPh sb="0" eb="2">
      <t>コンゴウ</t>
    </rPh>
    <rPh sb="3" eb="4">
      <t>フク</t>
    </rPh>
    <phoneticPr fontId="1"/>
  </si>
  <si>
    <t xml:space="preserve">               口座名義：フクシマケンバドミントンキョウカイ</t>
    <rPh sb="15" eb="18">
      <t>コウザメイ</t>
    </rPh>
    <rPh sb="18" eb="19">
      <t>ギ</t>
    </rPh>
    <phoneticPr fontId="1"/>
  </si>
  <si>
    <t>登録
地区</t>
    <rPh sb="0" eb="2">
      <t>トウロク</t>
    </rPh>
    <rPh sb="3" eb="5">
      <t>チク</t>
    </rPh>
    <phoneticPr fontId="1"/>
  </si>
  <si>
    <t>申込み責任者</t>
  </si>
  <si>
    <t>氏　名</t>
    <rPh sb="0" eb="1">
      <t>シ</t>
    </rPh>
    <phoneticPr fontId="1"/>
  </si>
  <si>
    <t>所属名</t>
    <phoneticPr fontId="1"/>
  </si>
  <si>
    <t>メールアドレス</t>
    <phoneticPr fontId="1"/>
  </si>
  <si>
    <t>県登録
未・済</t>
    <rPh sb="0" eb="3">
      <t>ケントウロク</t>
    </rPh>
    <rPh sb="4" eb="5">
      <t>ミ</t>
    </rPh>
    <phoneticPr fontId="1"/>
  </si>
  <si>
    <t>振り込み明細表</t>
    <rPh sb="0" eb="1">
      <t>フ</t>
    </rPh>
    <rPh sb="2" eb="3">
      <t>コ</t>
    </rPh>
    <rPh sb="4" eb="6">
      <t>メイサイ</t>
    </rPh>
    <rPh sb="6" eb="7">
      <t>ヒョウ</t>
    </rPh>
    <phoneticPr fontId="1"/>
  </si>
  <si>
    <t>やまだ　たろう</t>
    <phoneticPr fontId="1"/>
  </si>
  <si>
    <t>ふくしま　はなこ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</si>
  <si>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</si>
  <si>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参加費</t>
    <rPh sb="0" eb="3">
      <t>サンカヒ</t>
    </rPh>
    <phoneticPr fontId="1"/>
  </si>
  <si>
    <t>県未登録者</t>
    <rPh sb="0" eb="1">
      <t>ケン</t>
    </rPh>
    <rPh sb="1" eb="2">
      <t>ミ</t>
    </rPh>
    <rPh sb="2" eb="5">
      <t>トウロクシャ</t>
    </rPh>
    <phoneticPr fontId="1"/>
  </si>
  <si>
    <t>種目別合計</t>
    <rPh sb="0" eb="3">
      <t>シュモクベツ</t>
    </rPh>
    <rPh sb="3" eb="5">
      <t>ゴウケイ</t>
    </rPh>
    <phoneticPr fontId="1"/>
  </si>
  <si>
    <t>金額合計</t>
    <rPh sb="0" eb="2">
      <t>キンガク</t>
    </rPh>
    <rPh sb="2" eb="4">
      <t>ゴウケイ</t>
    </rPh>
    <phoneticPr fontId="1"/>
  </si>
  <si>
    <t>振込人氏名</t>
    <rPh sb="0" eb="3">
      <t>フリコミニン</t>
    </rPh>
    <rPh sb="3" eb="5">
      <t>シメイ</t>
    </rPh>
    <phoneticPr fontId="1"/>
  </si>
  <si>
    <t>◆ダブルス　種別／年齢区分／登録地区／県登録の未・済　　各セルをクリックし、▼から該当するものを選択してください。もし間違って入力した場合は”Delete”キーで削除して下さい。</t>
    <rPh sb="9" eb="13">
      <t>ネンレイクブン</t>
    </rPh>
    <rPh sb="14" eb="18">
      <t>トウロクチク</t>
    </rPh>
    <rPh sb="19" eb="22">
      <t>ケントウロク</t>
    </rPh>
    <rPh sb="23" eb="24">
      <t>ミ</t>
    </rPh>
    <rPh sb="25" eb="26">
      <t>スミ</t>
    </rPh>
    <rPh sb="28" eb="29">
      <t>カク</t>
    </rPh>
    <rPh sb="41" eb="43">
      <t>ガイトウ</t>
    </rPh>
    <rPh sb="48" eb="50">
      <t>センタク</t>
    </rPh>
    <rPh sb="59" eb="61">
      <t>マチガ</t>
    </rPh>
    <rPh sb="63" eb="65">
      <t>ニュウリョク</t>
    </rPh>
    <rPh sb="67" eb="69">
      <t>バアイ</t>
    </rPh>
    <rPh sb="81" eb="83">
      <t>サクジョ</t>
    </rPh>
    <rPh sb="85" eb="86">
      <t>クダ</t>
    </rPh>
    <phoneticPr fontId="1"/>
  </si>
  <si>
    <t>◆シングルス　種別／年齢区分／登録地区／県登録の未・済　　各セルをクリックし、▼から該当するものを選択してください。もし間違って入力した場合は”Delete”キーで削除して下さい。</t>
    <rPh sb="10" eb="14">
      <t>ネンレイクブン</t>
    </rPh>
    <rPh sb="15" eb="19">
      <t>トウロクチク</t>
    </rPh>
    <rPh sb="20" eb="23">
      <t>ケントウロク</t>
    </rPh>
    <rPh sb="24" eb="25">
      <t>ミ</t>
    </rPh>
    <rPh sb="26" eb="27">
      <t>スミ</t>
    </rPh>
    <rPh sb="29" eb="30">
      <t>カク</t>
    </rPh>
    <rPh sb="42" eb="44">
      <t>ガイトウ</t>
    </rPh>
    <rPh sb="49" eb="51">
      <t>センタク</t>
    </rPh>
    <rPh sb="60" eb="62">
      <t>マチガ</t>
    </rPh>
    <rPh sb="64" eb="66">
      <t>ニュウリョク</t>
    </rPh>
    <rPh sb="68" eb="70">
      <t>バアイ</t>
    </rPh>
    <rPh sb="82" eb="84">
      <t>サクジョ</t>
    </rPh>
    <rPh sb="86" eb="87">
      <t>クダ</t>
    </rPh>
    <phoneticPr fontId="1"/>
  </si>
  <si>
    <t>可</t>
    <rPh sb="0" eb="1">
      <t>カ</t>
    </rPh>
    <phoneticPr fontId="1"/>
  </si>
  <si>
    <t>否</t>
    <rPh sb="0" eb="1">
      <t>イナ</t>
    </rPh>
    <phoneticPr fontId="1"/>
  </si>
  <si>
    <t>全国大会参加</t>
    <rPh sb="0" eb="2">
      <t>ゼンコク</t>
    </rPh>
    <rPh sb="2" eb="4">
      <t>タイカイ</t>
    </rPh>
    <rPh sb="4" eb="6">
      <t>サンカ</t>
    </rPh>
    <phoneticPr fontId="1"/>
  </si>
  <si>
    <t>否</t>
    <rPh sb="0" eb="1">
      <t>ヒ</t>
    </rPh>
    <phoneticPr fontId="1"/>
  </si>
  <si>
    <t>種別＆年齢区分</t>
    <rPh sb="0" eb="2">
      <t>シュベツ</t>
    </rPh>
    <rPh sb="3" eb="7">
      <t>ネンレイクブン</t>
    </rPh>
    <phoneticPr fontId="1"/>
  </si>
  <si>
    <t>男子複計</t>
    <rPh sb="0" eb="2">
      <t>ダンシ</t>
    </rPh>
    <rPh sb="2" eb="3">
      <t>フク</t>
    </rPh>
    <rPh sb="3" eb="4">
      <t>ケイ</t>
    </rPh>
    <phoneticPr fontId="1"/>
  </si>
  <si>
    <t>女子複計</t>
    <rPh sb="0" eb="2">
      <t>ジョシ</t>
    </rPh>
    <rPh sb="2" eb="3">
      <t>フク</t>
    </rPh>
    <rPh sb="3" eb="4">
      <t>ケイ</t>
    </rPh>
    <phoneticPr fontId="1"/>
  </si>
  <si>
    <t>混合計</t>
    <rPh sb="0" eb="2">
      <t>コンゴウ</t>
    </rPh>
    <rPh sb="2" eb="3">
      <t>ケイ</t>
    </rPh>
    <phoneticPr fontId="1"/>
  </si>
  <si>
    <t>種別＆年齢区分</t>
    <rPh sb="0" eb="2">
      <t>シュベツ</t>
    </rPh>
    <rPh sb="3" eb="5">
      <t>ネンレイ</t>
    </rPh>
    <rPh sb="5" eb="7">
      <t>クブン</t>
    </rPh>
    <phoneticPr fontId="1"/>
  </si>
  <si>
    <t>男子単計</t>
    <rPh sb="0" eb="2">
      <t>ダンシ</t>
    </rPh>
    <rPh sb="2" eb="3">
      <t>タン</t>
    </rPh>
    <rPh sb="3" eb="4">
      <t>ケイ</t>
    </rPh>
    <phoneticPr fontId="1"/>
  </si>
  <si>
    <t>女子単計</t>
    <rPh sb="0" eb="2">
      <t>ジョシ</t>
    </rPh>
    <rPh sb="2" eb="3">
      <t>タン</t>
    </rPh>
    <rPh sb="3" eb="4">
      <t>ケイ</t>
    </rPh>
    <phoneticPr fontId="1"/>
  </si>
  <si>
    <t>30MD</t>
    <phoneticPr fontId="1"/>
  </si>
  <si>
    <t>35MD</t>
    <phoneticPr fontId="1"/>
  </si>
  <si>
    <t>40MD</t>
    <phoneticPr fontId="1"/>
  </si>
  <si>
    <t>45MD</t>
    <phoneticPr fontId="1"/>
  </si>
  <si>
    <t>50MD</t>
    <phoneticPr fontId="1"/>
  </si>
  <si>
    <t>55MD</t>
    <phoneticPr fontId="1"/>
  </si>
  <si>
    <t>60MD</t>
    <phoneticPr fontId="1"/>
  </si>
  <si>
    <t>65MD</t>
    <phoneticPr fontId="1"/>
  </si>
  <si>
    <t>70MD</t>
    <phoneticPr fontId="1"/>
  </si>
  <si>
    <t>75MD</t>
    <phoneticPr fontId="1"/>
  </si>
  <si>
    <t>30WD</t>
    <phoneticPr fontId="1"/>
  </si>
  <si>
    <t>35WD</t>
    <phoneticPr fontId="1"/>
  </si>
  <si>
    <t>40WD</t>
    <phoneticPr fontId="1"/>
  </si>
  <si>
    <t>45WD</t>
    <phoneticPr fontId="1"/>
  </si>
  <si>
    <t>50WD</t>
    <phoneticPr fontId="1"/>
  </si>
  <si>
    <t>55WD</t>
    <phoneticPr fontId="1"/>
  </si>
  <si>
    <t>60WD</t>
    <phoneticPr fontId="1"/>
  </si>
  <si>
    <t>60XD</t>
    <phoneticPr fontId="1"/>
  </si>
  <si>
    <t>70XD</t>
    <phoneticPr fontId="1"/>
  </si>
  <si>
    <t>80XD</t>
    <phoneticPr fontId="1"/>
  </si>
  <si>
    <t>30MS</t>
    <phoneticPr fontId="1"/>
  </si>
  <si>
    <t>35MS</t>
    <phoneticPr fontId="1"/>
  </si>
  <si>
    <t>40MS</t>
    <phoneticPr fontId="1"/>
  </si>
  <si>
    <t>45MS</t>
    <phoneticPr fontId="1"/>
  </si>
  <si>
    <t>50MS</t>
    <phoneticPr fontId="1"/>
  </si>
  <si>
    <t>55MS</t>
    <phoneticPr fontId="1"/>
  </si>
  <si>
    <t>60MS</t>
    <phoneticPr fontId="1"/>
  </si>
  <si>
    <t>65MS</t>
    <phoneticPr fontId="1"/>
  </si>
  <si>
    <t>70MS</t>
    <phoneticPr fontId="1"/>
  </si>
  <si>
    <t>75MS</t>
    <phoneticPr fontId="1"/>
  </si>
  <si>
    <t>30WS</t>
    <phoneticPr fontId="1"/>
  </si>
  <si>
    <t>35WS</t>
    <phoneticPr fontId="1"/>
  </si>
  <si>
    <t>40WS</t>
    <phoneticPr fontId="1"/>
  </si>
  <si>
    <t>45WS</t>
    <phoneticPr fontId="1"/>
  </si>
  <si>
    <t>50WS</t>
    <phoneticPr fontId="1"/>
  </si>
  <si>
    <t>55WS</t>
    <phoneticPr fontId="1"/>
  </si>
  <si>
    <t>60WS</t>
    <phoneticPr fontId="1"/>
  </si>
  <si>
    <t>65WD</t>
    <phoneticPr fontId="1"/>
  </si>
  <si>
    <t>70WD</t>
    <phoneticPr fontId="1"/>
  </si>
  <si>
    <t>75WD</t>
    <phoneticPr fontId="1"/>
  </si>
  <si>
    <t>80WD</t>
    <phoneticPr fontId="1"/>
  </si>
  <si>
    <t>30XD</t>
    <phoneticPr fontId="1"/>
  </si>
  <si>
    <t>35XD</t>
    <phoneticPr fontId="1"/>
  </si>
  <si>
    <t>40XD</t>
    <phoneticPr fontId="1"/>
  </si>
  <si>
    <t>45XD</t>
    <phoneticPr fontId="1"/>
  </si>
  <si>
    <t>50XD</t>
    <phoneticPr fontId="1"/>
  </si>
  <si>
    <t>55XD</t>
    <phoneticPr fontId="1"/>
  </si>
  <si>
    <t>65XD</t>
    <phoneticPr fontId="1"/>
  </si>
  <si>
    <t>75XD</t>
    <phoneticPr fontId="1"/>
  </si>
  <si>
    <t>80MD</t>
    <phoneticPr fontId="1"/>
  </si>
  <si>
    <t>65WS</t>
    <phoneticPr fontId="1"/>
  </si>
  <si>
    <t>70WS</t>
    <phoneticPr fontId="1"/>
  </si>
  <si>
    <t>75WS</t>
    <phoneticPr fontId="1"/>
  </si>
  <si>
    <t>80WS</t>
    <phoneticPr fontId="1"/>
  </si>
  <si>
    <t>80MS</t>
    <phoneticPr fontId="1"/>
  </si>
  <si>
    <t xml:space="preserve">振込先】 金融機関：ゆうちょ銀行 口座番号：八二八支店 普通 3853956 </t>
  </si>
  <si>
    <t xml:space="preserve">口座名義人：福島県バドミントン協会(フクシマケンバドミントンキョウカイ) </t>
  </si>
  <si>
    <t xml:space="preserve">ゆうちょ銀行間の場合】 記号番号 ： 18220-38539561 </t>
  </si>
  <si>
    <t>口座名義 ： フクシマケンバドミントンキョウカイ</t>
  </si>
  <si>
    <t>所属名称：</t>
    <rPh sb="0" eb="2">
      <t>ショゾク</t>
    </rPh>
    <rPh sb="2" eb="4">
      <t>メイショウ</t>
    </rPh>
    <phoneticPr fontId="1"/>
  </si>
  <si>
    <t>２０２６ 福島県総合シニアバドミントン選手権大会申し込み書</t>
    <rPh sb="5" eb="8">
      <t>フクシマケン</t>
    </rPh>
    <rPh sb="8" eb="10">
      <t>ソウゴウ</t>
    </rPh>
    <rPh sb="19" eb="22">
      <t>センシュケン</t>
    </rPh>
    <rPh sb="22" eb="24">
      <t>タイカイ</t>
    </rPh>
    <rPh sb="24" eb="25">
      <t>モウ</t>
    </rPh>
    <rPh sb="26" eb="27">
      <t>コ</t>
    </rPh>
    <rPh sb="28" eb="2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</si>
</sst>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&lt;=999]000;[&lt;=9999]000\-00;000\-0000"/>
    <numFmt numFmtId="177" formatCode="[$]ggge&quot;年&quot;m&quot;月&quot;d&quot;日&quot;;@" x16r2:formatCode16="[$-ja-JP-x-gannen]ggge&quot;年&quot;m&quot;月&quot;d&quot;日&quot;;@"/>
    <numFmt numFmtId="178" formatCode="yyyy\-mm\-dd;@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Meiryo UI"/>
      <family val="3"/>
      <charset val="128"/>
    </font>
    <font>
      <sz val="16"/>
      <color rgb="FFFF000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1"/>
      <name val="游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/>
    <xf numFmtId="0" fontId="7" fillId="0" borderId="1" xfId="0" applyFont="1" applyBorder="1" applyAlignment="1">
      <alignment horizontal="distributed" vertical="center"/>
    </xf>
    <xf numFmtId="0" fontId="7" fillId="0" borderId="4" xfId="0" applyFont="1" applyBorder="1" applyAlignment="1">
      <alignment horizontal="distributed" vertical="center"/>
    </xf>
    <xf numFmtId="0" fontId="7" fillId="0" borderId="10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14" xfId="0" applyFont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3" fillId="0" borderId="21" xfId="0" applyFont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center" vertical="center" wrapText="1"/>
      <protection locked="0"/>
    </xf>
    <xf numFmtId="14" fontId="0" fillId="0" borderId="21" xfId="0" applyNumberFormat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3" xfId="0" applyBorder="1">
      <alignment vertical="center"/>
    </xf>
    <xf numFmtId="0" fontId="13" fillId="0" borderId="4" xfId="0" applyFont="1" applyBorder="1" applyAlignment="1" applyProtection="1">
      <alignment horizontal="center" vertical="center" wrapText="1"/>
      <protection locked="0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14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7" fillId="0" borderId="21" xfId="0" applyNumberFormat="1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  <xf numFmtId="38" fontId="13" fillId="0" borderId="1" xfId="2" applyFont="1" applyBorder="1" applyAlignment="1">
      <alignment horizontal="center" vertical="center"/>
    </xf>
    <xf numFmtId="38" fontId="13" fillId="0" borderId="21" xfId="2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7" fillId="2" borderId="2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8" fontId="10" fillId="0" borderId="0" xfId="1" applyNumberFormat="1" applyFont="1" applyBorder="1" applyAlignment="1" applyProtection="1">
      <alignment horizontal="center" vertical="center"/>
      <protection locked="0"/>
    </xf>
    <xf numFmtId="38" fontId="13" fillId="0" borderId="0" xfId="0" applyNumberFormat="1" applyFont="1" applyAlignment="1" applyProtection="1">
      <alignment horizontal="center" vertical="center"/>
      <protection locked="0"/>
    </xf>
    <xf numFmtId="38" fontId="13" fillId="0" borderId="0" xfId="0" applyNumberFormat="1" applyFont="1" applyAlignment="1">
      <alignment horizontal="center" vertical="center"/>
    </xf>
    <xf numFmtId="6" fontId="7" fillId="0" borderId="0" xfId="0" applyNumberFormat="1" applyFont="1" applyAlignment="1">
      <alignment horizontal="center" vertical="center"/>
    </xf>
    <xf numFmtId="6" fontId="7" fillId="0" borderId="28" xfId="0" applyNumberFormat="1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6" fontId="7" fillId="0" borderId="30" xfId="0" applyNumberFormat="1" applyFont="1" applyBorder="1">
      <alignment vertical="center"/>
    </xf>
    <xf numFmtId="0" fontId="7" fillId="0" borderId="31" xfId="0" applyFont="1" applyBorder="1" applyAlignment="1">
      <alignment horizontal="center" vertical="center"/>
    </xf>
    <xf numFmtId="0" fontId="18" fillId="3" borderId="0" xfId="0" applyFont="1" applyFill="1" applyAlignment="1" applyProtection="1">
      <alignment horizontal="center" vertical="center"/>
      <protection locked="0"/>
    </xf>
    <xf numFmtId="6" fontId="18" fillId="3" borderId="0" xfId="0" applyNumberFormat="1" applyFont="1" applyFill="1">
      <alignment vertical="center"/>
    </xf>
    <xf numFmtId="0" fontId="13" fillId="0" borderId="17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>
      <alignment horizontal="center" vertical="center" wrapText="1"/>
    </xf>
    <xf numFmtId="14" fontId="7" fillId="0" borderId="17" xfId="0" applyNumberFormat="1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4" fontId="7" fillId="2" borderId="3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1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21" fillId="4" borderId="41" xfId="0" applyFont="1" applyFill="1" applyBorder="1" applyAlignment="1">
      <alignment horizontal="center" vertical="center"/>
    </xf>
    <xf numFmtId="0" fontId="21" fillId="4" borderId="42" xfId="0" applyFont="1" applyFill="1" applyBorder="1" applyAlignment="1">
      <alignment horizontal="center" vertical="center"/>
    </xf>
    <xf numFmtId="0" fontId="21" fillId="4" borderId="45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/>
    </xf>
    <xf numFmtId="0" fontId="21" fillId="4" borderId="43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7" fillId="2" borderId="5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6" fontId="18" fillId="0" borderId="0" xfId="0" applyNumberFormat="1" applyFont="1">
      <alignment vertical="center"/>
    </xf>
    <xf numFmtId="0" fontId="18" fillId="0" borderId="0" xfId="0" applyFont="1" applyAlignment="1" applyProtection="1">
      <alignment horizontal="center" vertical="center"/>
      <protection locked="0"/>
    </xf>
    <xf numFmtId="0" fontId="21" fillId="4" borderId="44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/>
    </xf>
    <xf numFmtId="0" fontId="26" fillId="3" borderId="15" xfId="0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2" borderId="2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>
      <alignment horizontal="center" vertical="center"/>
    </xf>
    <xf numFmtId="0" fontId="19" fillId="3" borderId="15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7" fillId="0" borderId="32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7" fillId="0" borderId="0" xfId="0" applyNumberFormat="1" applyFont="1" applyAlignment="1" applyProtection="1">
      <alignment horizontal="center" vertical="center"/>
      <protection locked="0"/>
    </xf>
    <xf numFmtId="0" fontId="20" fillId="0" borderId="0" xfId="0" applyFont="1" applyAlignment="1">
      <alignment horizontal="center" vertical="center"/>
    </xf>
    <xf numFmtId="0" fontId="0" fillId="0" borderId="53" xfId="0" applyBorder="1" applyAlignment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right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right" vertical="center"/>
    </xf>
    <xf numFmtId="0" fontId="0" fillId="0" borderId="60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3" xfId="0" applyBorder="1" applyAlignment="1">
      <alignment horizontal="right" vertical="center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7" fillId="0" borderId="53" xfId="0" applyFont="1" applyBorder="1" applyAlignment="1">
      <alignment horizontal="right" vertical="center"/>
    </xf>
    <xf numFmtId="176" fontId="7" fillId="0" borderId="54" xfId="0" applyNumberFormat="1" applyFont="1" applyBorder="1" applyAlignment="1" applyProtection="1">
      <alignment horizontal="center" vertical="center"/>
      <protection locked="0"/>
    </xf>
    <xf numFmtId="176" fontId="7" fillId="0" borderId="55" xfId="0" applyNumberFormat="1" applyFont="1" applyBorder="1" applyAlignment="1" applyProtection="1">
      <alignment horizontal="center" vertical="center"/>
      <protection locked="0"/>
    </xf>
    <xf numFmtId="176" fontId="7" fillId="0" borderId="56" xfId="0" applyNumberFormat="1" applyFont="1" applyBorder="1" applyAlignment="1" applyProtection="1">
      <alignment horizontal="center" vertical="center"/>
      <protection locked="0"/>
    </xf>
    <xf numFmtId="0" fontId="7" fillId="0" borderId="57" xfId="0" applyFont="1" applyBorder="1" applyAlignment="1">
      <alignment horizontal="right" vertical="center"/>
    </xf>
    <xf numFmtId="0" fontId="7" fillId="0" borderId="57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>
      <alignment horizontal="right" vertical="center"/>
    </xf>
    <xf numFmtId="0" fontId="7" fillId="0" borderId="60" xfId="0" applyFont="1" applyBorder="1" applyAlignment="1" applyProtection="1">
      <alignment horizontal="center" vertical="center"/>
      <protection locked="0"/>
    </xf>
    <xf numFmtId="0" fontId="7" fillId="0" borderId="61" xfId="0" applyFont="1" applyBorder="1" applyAlignment="1" applyProtection="1">
      <alignment horizontal="center" vertical="center"/>
      <protection locked="0"/>
    </xf>
    <xf numFmtId="0" fontId="7" fillId="0" borderId="62" xfId="0" applyFont="1" applyBorder="1" applyAlignment="1" applyProtection="1">
      <alignment horizontal="center" vertical="center"/>
      <protection locked="0"/>
    </xf>
    <xf numFmtId="0" fontId="7" fillId="0" borderId="63" xfId="0" applyFont="1" applyBorder="1" applyAlignment="1">
      <alignment horizontal="right" vertical="center"/>
    </xf>
    <xf numFmtId="0" fontId="5" fillId="0" borderId="63" xfId="1" applyBorder="1" applyAlignment="1" applyProtection="1">
      <alignment horizontal="center" vertical="center"/>
      <protection locked="0"/>
    </xf>
    <xf numFmtId="0" fontId="10" fillId="0" borderId="63" xfId="1" applyFont="1" applyBorder="1" applyAlignment="1" applyProtection="1">
      <alignment horizontal="center" vertical="center"/>
      <protection locked="0"/>
    </xf>
    <xf numFmtId="0" fontId="10" fillId="0" borderId="64" xfId="1" applyFont="1" applyBorder="1" applyAlignment="1" applyProtection="1">
      <alignment horizontal="center" vertical="center"/>
      <protection locked="0"/>
    </xf>
    <xf numFmtId="0" fontId="21" fillId="4" borderId="65" xfId="0" applyFont="1" applyFill="1" applyBorder="1" applyAlignment="1">
      <alignment horizontal="center" vertical="center"/>
    </xf>
    <xf numFmtId="0" fontId="21" fillId="4" borderId="66" xfId="0" applyFont="1" applyFill="1" applyBorder="1" applyAlignment="1">
      <alignment horizontal="center" vertical="center"/>
    </xf>
    <xf numFmtId="0" fontId="21" fillId="4" borderId="67" xfId="0" applyFont="1" applyFill="1" applyBorder="1" applyAlignment="1">
      <alignment horizontal="center" vertical="center"/>
    </xf>
    <xf numFmtId="0" fontId="21" fillId="4" borderId="68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17B0-A994-4BB7-9214-46182A41CA33}">
  <sheetPr codeName="Sheet3"/>
  <dimension ref="A1:T72"/>
  <sheetViews>
    <sheetView tabSelected="1" view="pageBreakPreview" topLeftCell="A20" zoomScale="91" zoomScaleNormal="91" zoomScaleSheetLayoutView="91" workbookViewId="0">
      <selection activeCell="H11" sqref="H11"/>
    </sheetView>
  </sheetViews>
  <sheetFormatPr defaultColWidth="8.9140625" defaultRowHeight="15"/>
  <cols>
    <col min="1" max="1" width="4.5" style="4" customWidth="1"/>
    <col min="2" max="2" width="13" style="4" customWidth="1"/>
    <col min="3" max="3" width="14.9140625" style="4" customWidth="1"/>
    <col min="4" max="4" width="15.1640625" style="4" customWidth="1"/>
    <col min="5" max="6" width="14.08203125" style="4" customWidth="1"/>
    <col min="7" max="7" width="9.58203125" style="4" customWidth="1"/>
    <col min="8" max="8" width="9.83203125" style="4" customWidth="1"/>
    <col min="9" max="9" width="12.75" style="4" customWidth="1"/>
    <col min="10" max="10" width="15.4140625" style="4" customWidth="1"/>
    <col min="11" max="11" width="8.6640625" style="4" bestFit="1" customWidth="1"/>
    <col min="12" max="12" width="8.9140625" style="4" bestFit="1" customWidth="1"/>
    <col min="13" max="13" width="8" style="4" customWidth="1"/>
    <col min="14" max="14" width="6.58203125" style="4" hidden="1" customWidth="1"/>
    <col min="15" max="15" width="8.6640625" style="4" hidden="1" customWidth="1"/>
    <col min="16" max="16" width="6.83203125" style="4" bestFit="1" customWidth="1"/>
    <col min="17" max="17" width="11.75" style="4" customWidth="1"/>
    <col min="18" max="18" width="11.6640625" style="4" customWidth="1"/>
    <col min="19" max="16384" width="8.9140625" style="4"/>
  </cols>
  <sheetData>
    <row r="1" spans="1:20" ht="24" customHeight="1" thickBot="1">
      <c r="A1" s="126" t="s">
        <v>130</v>
      </c>
      <c r="B1" s="126"/>
      <c r="C1" s="126"/>
      <c r="D1" s="126"/>
      <c r="E1" s="126"/>
      <c r="F1" s="126"/>
      <c r="G1" s="126"/>
      <c r="H1" s="126"/>
      <c r="I1" s="126"/>
      <c r="J1" s="126"/>
      <c r="K1" s="57"/>
    </row>
    <row r="2" spans="1:20" ht="18" customHeight="1" thickTop="1">
      <c r="A2" s="9"/>
      <c r="B2" s="9"/>
      <c r="C2" s="9"/>
      <c r="D2" s="161" t="s">
        <v>129</v>
      </c>
      <c r="E2" s="162"/>
      <c r="F2" s="163"/>
      <c r="G2" s="164"/>
      <c r="H2" s="165" t="s">
        <v>25</v>
      </c>
      <c r="I2" s="166"/>
      <c r="J2" s="166"/>
      <c r="K2" s="166"/>
      <c r="L2" s="167"/>
      <c r="M2" s="31"/>
    </row>
    <row r="3" spans="1:20" ht="18" customHeight="1" thickBot="1">
      <c r="D3" s="168" t="s">
        <v>24</v>
      </c>
      <c r="E3" s="169"/>
      <c r="F3" s="170"/>
      <c r="G3" s="171"/>
      <c r="H3" s="172" t="s">
        <v>26</v>
      </c>
      <c r="I3" s="173"/>
      <c r="J3" s="174"/>
      <c r="K3" s="174"/>
      <c r="L3" s="175"/>
      <c r="M3" s="47"/>
    </row>
    <row r="4" spans="1:20" ht="12.65" customHeight="1" thickTop="1">
      <c r="D4" s="7"/>
      <c r="E4" s="31"/>
      <c r="F4" s="31"/>
      <c r="G4" s="31"/>
      <c r="H4" s="25"/>
      <c r="I4" s="47"/>
      <c r="J4" s="59"/>
      <c r="K4" s="59"/>
      <c r="L4" s="47"/>
      <c r="M4" s="47"/>
    </row>
    <row r="5" spans="1:20" ht="15.5" thickBot="1">
      <c r="A5" s="132" t="s">
        <v>57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05"/>
    </row>
    <row r="6" spans="1:20" ht="30.5" thickBot="1">
      <c r="A6" s="54" t="s">
        <v>0</v>
      </c>
      <c r="B6" s="53" t="s">
        <v>63</v>
      </c>
      <c r="C6" s="53" t="s">
        <v>1</v>
      </c>
      <c r="D6" s="53" t="s">
        <v>2</v>
      </c>
      <c r="E6" s="53" t="s">
        <v>3</v>
      </c>
      <c r="F6" s="53" t="s">
        <v>52</v>
      </c>
      <c r="G6" s="53" t="s">
        <v>42</v>
      </c>
      <c r="H6" s="53" t="s">
        <v>4</v>
      </c>
      <c r="I6" s="53" t="s">
        <v>10</v>
      </c>
      <c r="J6" s="53" t="s">
        <v>13</v>
      </c>
      <c r="K6" s="78" t="s">
        <v>61</v>
      </c>
      <c r="L6" s="104" t="s">
        <v>47</v>
      </c>
      <c r="M6" s="23"/>
      <c r="P6" s="112"/>
      <c r="Q6" s="112"/>
      <c r="R6" s="112"/>
      <c r="S6" s="112"/>
      <c r="T6" s="112"/>
    </row>
    <row r="7" spans="1:20" ht="18" customHeight="1" thickBot="1">
      <c r="A7" s="123" t="s">
        <v>5</v>
      </c>
      <c r="B7" s="123" t="s">
        <v>17</v>
      </c>
      <c r="C7" s="78" t="s">
        <v>6</v>
      </c>
      <c r="D7" s="78" t="s">
        <v>49</v>
      </c>
      <c r="E7" s="78" t="s">
        <v>11</v>
      </c>
      <c r="F7" s="78">
        <v>2000</v>
      </c>
      <c r="G7" s="78" t="s">
        <v>8</v>
      </c>
      <c r="H7" s="78">
        <v>34</v>
      </c>
      <c r="I7" s="85">
        <v>32964</v>
      </c>
      <c r="J7" s="78">
        <v>1000000001</v>
      </c>
      <c r="K7" s="123" t="s">
        <v>59</v>
      </c>
      <c r="L7" s="104" t="s">
        <v>15</v>
      </c>
      <c r="M7" s="23"/>
      <c r="P7" s="112"/>
      <c r="Q7" s="112"/>
      <c r="R7" s="112"/>
      <c r="S7" s="112"/>
      <c r="T7" s="112"/>
    </row>
    <row r="8" spans="1:20" ht="18" customHeight="1" thickBot="1">
      <c r="A8" s="127"/>
      <c r="B8" s="127"/>
      <c r="C8" s="78" t="s">
        <v>7</v>
      </c>
      <c r="D8" s="78" t="s">
        <v>50</v>
      </c>
      <c r="E8" s="78" t="s">
        <v>12</v>
      </c>
      <c r="F8" s="78">
        <v>2000</v>
      </c>
      <c r="G8" s="78" t="s">
        <v>9</v>
      </c>
      <c r="H8" s="78">
        <v>35</v>
      </c>
      <c r="I8" s="85">
        <v>32599</v>
      </c>
      <c r="J8" s="78">
        <v>1100000002</v>
      </c>
      <c r="K8" s="124"/>
      <c r="L8" s="104" t="s">
        <v>14</v>
      </c>
      <c r="M8" s="23"/>
      <c r="O8" s="4" t="s">
        <v>16</v>
      </c>
      <c r="P8" s="51"/>
    </row>
    <row r="9" spans="1:20" ht="18" customHeight="1">
      <c r="A9" s="131">
        <v>1</v>
      </c>
      <c r="B9" s="117"/>
      <c r="C9" s="70"/>
      <c r="D9" s="70"/>
      <c r="E9" s="70"/>
      <c r="F9" s="49" t="str">
        <f>IF(C9=""," ",(2000))</f>
        <v xml:space="preserve"> </v>
      </c>
      <c r="G9" s="69"/>
      <c r="H9" s="71" t="str">
        <f>IF(I9="","　",(INT(((DATE(2026,4,1)-I9))/365.25)))</f>
        <v>　</v>
      </c>
      <c r="I9" s="72"/>
      <c r="J9" s="73"/>
      <c r="K9" s="125"/>
      <c r="L9" s="74"/>
      <c r="M9" s="24"/>
      <c r="O9" s="4" t="s">
        <v>70</v>
      </c>
      <c r="P9" s="52"/>
    </row>
    <row r="10" spans="1:20" ht="18" customHeight="1">
      <c r="A10" s="115"/>
      <c r="B10" s="118"/>
      <c r="C10" s="19"/>
      <c r="D10" s="19"/>
      <c r="E10" s="19"/>
      <c r="F10" s="49" t="str">
        <f>IF(C10=""," ",(2000))</f>
        <v xml:space="preserve"> </v>
      </c>
      <c r="G10" s="18"/>
      <c r="H10" s="75" t="str">
        <f>IF(I10="","　",(INT(((DATE(2026,4,1)-I10))/365.25)))</f>
        <v>　</v>
      </c>
      <c r="I10" s="42"/>
      <c r="J10" s="43"/>
      <c r="K10" s="121"/>
      <c r="L10" s="76"/>
      <c r="M10" s="24"/>
      <c r="O10" s="4" t="s">
        <v>71</v>
      </c>
      <c r="P10" s="52"/>
    </row>
    <row r="11" spans="1:20" ht="18" customHeight="1">
      <c r="A11" s="115">
        <v>2</v>
      </c>
      <c r="B11" s="117"/>
      <c r="C11" s="19"/>
      <c r="D11" s="19"/>
      <c r="E11" s="19"/>
      <c r="F11" s="49" t="str">
        <f t="shared" ref="F11:F27" si="0">IF(C11=""," ",(2000))</f>
        <v xml:space="preserve"> </v>
      </c>
      <c r="G11" s="18"/>
      <c r="H11" s="75" t="str">
        <f t="shared" ref="H11:H27" si="1">IF(I11="","　",(INT(((DATE(2026,4,1)-I11))/365.25)))</f>
        <v>　</v>
      </c>
      <c r="I11" s="42"/>
      <c r="J11" s="43"/>
      <c r="K11" s="120"/>
      <c r="L11" s="76"/>
      <c r="M11" s="24"/>
      <c r="O11" s="4" t="s">
        <v>72</v>
      </c>
    </row>
    <row r="12" spans="1:20" ht="18" customHeight="1">
      <c r="A12" s="115"/>
      <c r="B12" s="118"/>
      <c r="C12" s="19"/>
      <c r="D12" s="19"/>
      <c r="E12" s="19"/>
      <c r="F12" s="49" t="str">
        <f t="shared" si="0"/>
        <v xml:space="preserve"> </v>
      </c>
      <c r="G12" s="18"/>
      <c r="H12" s="75" t="str">
        <f t="shared" si="1"/>
        <v>　</v>
      </c>
      <c r="I12" s="42"/>
      <c r="J12" s="43"/>
      <c r="K12" s="121"/>
      <c r="L12" s="76"/>
      <c r="M12" s="24"/>
      <c r="O12" s="4" t="s">
        <v>73</v>
      </c>
    </row>
    <row r="13" spans="1:20" ht="18" customHeight="1">
      <c r="A13" s="115">
        <v>3</v>
      </c>
      <c r="B13" s="117"/>
      <c r="C13" s="19"/>
      <c r="D13" s="19"/>
      <c r="E13" s="18"/>
      <c r="F13" s="49" t="str">
        <f t="shared" si="0"/>
        <v xml:space="preserve"> </v>
      </c>
      <c r="G13" s="18"/>
      <c r="H13" s="75" t="str">
        <f t="shared" si="1"/>
        <v>　</v>
      </c>
      <c r="I13" s="42"/>
      <c r="J13" s="43"/>
      <c r="K13" s="120"/>
      <c r="L13" s="76"/>
      <c r="M13" s="24"/>
      <c r="N13" s="4" t="s">
        <v>18</v>
      </c>
      <c r="O13" s="4" t="s">
        <v>74</v>
      </c>
    </row>
    <row r="14" spans="1:20" ht="18" customHeight="1">
      <c r="A14" s="115"/>
      <c r="B14" s="118"/>
      <c r="C14" s="19"/>
      <c r="D14" s="19"/>
      <c r="E14" s="19"/>
      <c r="F14" s="49" t="str">
        <f t="shared" si="0"/>
        <v xml:space="preserve"> </v>
      </c>
      <c r="G14" s="18"/>
      <c r="H14" s="75" t="str">
        <f t="shared" si="1"/>
        <v>　</v>
      </c>
      <c r="I14" s="42"/>
      <c r="J14" s="43"/>
      <c r="K14" s="121"/>
      <c r="L14" s="76"/>
      <c r="M14" s="24"/>
      <c r="N14" s="4" t="s">
        <v>19</v>
      </c>
      <c r="O14" s="4" t="s">
        <v>75</v>
      </c>
    </row>
    <row r="15" spans="1:20" ht="18" customHeight="1">
      <c r="A15" s="115">
        <v>4</v>
      </c>
      <c r="B15" s="117"/>
      <c r="C15" s="19"/>
      <c r="D15" s="19"/>
      <c r="E15" s="19"/>
      <c r="F15" s="49" t="str">
        <f t="shared" si="0"/>
        <v xml:space="preserve"> </v>
      </c>
      <c r="G15" s="18"/>
      <c r="H15" s="75" t="str">
        <f t="shared" si="1"/>
        <v>　</v>
      </c>
      <c r="I15" s="42"/>
      <c r="J15" s="43"/>
      <c r="K15" s="120"/>
      <c r="L15" s="76"/>
      <c r="M15" s="24"/>
      <c r="N15" s="4" t="s">
        <v>20</v>
      </c>
      <c r="O15" s="4" t="s">
        <v>76</v>
      </c>
    </row>
    <row r="16" spans="1:20" ht="18" customHeight="1">
      <c r="A16" s="115"/>
      <c r="B16" s="118"/>
      <c r="C16" s="19"/>
      <c r="D16" s="19"/>
      <c r="E16" s="19"/>
      <c r="F16" s="49" t="str">
        <f t="shared" si="0"/>
        <v xml:space="preserve"> </v>
      </c>
      <c r="G16" s="18"/>
      <c r="H16" s="75" t="str">
        <f t="shared" si="1"/>
        <v>　</v>
      </c>
      <c r="I16" s="42"/>
      <c r="J16" s="43"/>
      <c r="K16" s="121"/>
      <c r="L16" s="76"/>
      <c r="M16" s="24"/>
      <c r="N16" s="4" t="s">
        <v>21</v>
      </c>
      <c r="O16" s="4" t="s">
        <v>77</v>
      </c>
    </row>
    <row r="17" spans="1:15" ht="18" customHeight="1">
      <c r="A17" s="115">
        <v>5</v>
      </c>
      <c r="B17" s="117"/>
      <c r="C17" s="19"/>
      <c r="D17" s="19"/>
      <c r="E17" s="19"/>
      <c r="F17" s="49" t="str">
        <f t="shared" si="0"/>
        <v xml:space="preserve"> </v>
      </c>
      <c r="G17" s="18"/>
      <c r="H17" s="75" t="str">
        <f t="shared" si="1"/>
        <v>　</v>
      </c>
      <c r="I17" s="42"/>
      <c r="J17" s="43"/>
      <c r="K17" s="120"/>
      <c r="L17" s="76"/>
      <c r="M17" s="24"/>
      <c r="N17" s="4" t="s">
        <v>9</v>
      </c>
      <c r="O17" s="4" t="s">
        <v>78</v>
      </c>
    </row>
    <row r="18" spans="1:15" ht="18" customHeight="1">
      <c r="A18" s="115"/>
      <c r="B18" s="118"/>
      <c r="C18" s="19"/>
      <c r="D18" s="19"/>
      <c r="E18" s="19"/>
      <c r="F18" s="49" t="str">
        <f t="shared" si="0"/>
        <v xml:space="preserve"> </v>
      </c>
      <c r="G18" s="18"/>
      <c r="H18" s="75" t="str">
        <f t="shared" si="1"/>
        <v>　</v>
      </c>
      <c r="I18" s="42"/>
      <c r="J18" s="43"/>
      <c r="K18" s="121"/>
      <c r="L18" s="76"/>
      <c r="M18" s="24"/>
      <c r="N18" s="4" t="s">
        <v>22</v>
      </c>
      <c r="O18" s="4" t="s">
        <v>79</v>
      </c>
    </row>
    <row r="19" spans="1:15" ht="18" customHeight="1">
      <c r="A19" s="115">
        <v>6</v>
      </c>
      <c r="B19" s="117"/>
      <c r="C19" s="19"/>
      <c r="D19" s="19"/>
      <c r="E19" s="19"/>
      <c r="F19" s="49" t="str">
        <f t="shared" si="0"/>
        <v xml:space="preserve"> </v>
      </c>
      <c r="G19" s="18"/>
      <c r="H19" s="75" t="str">
        <f t="shared" si="1"/>
        <v>　</v>
      </c>
      <c r="I19" s="42"/>
      <c r="J19" s="43"/>
      <c r="K19" s="120"/>
      <c r="L19" s="76"/>
      <c r="M19" s="24"/>
      <c r="N19" s="4" t="s">
        <v>23</v>
      </c>
      <c r="O19" s="4" t="s">
        <v>119</v>
      </c>
    </row>
    <row r="20" spans="1:15" ht="18" customHeight="1">
      <c r="A20" s="115"/>
      <c r="B20" s="118"/>
      <c r="C20" s="19"/>
      <c r="D20" s="19"/>
      <c r="E20" s="19"/>
      <c r="F20" s="49" t="str">
        <f t="shared" si="0"/>
        <v xml:space="preserve"> </v>
      </c>
      <c r="G20" s="18"/>
      <c r="H20" s="75" t="str">
        <f t="shared" si="1"/>
        <v>　</v>
      </c>
      <c r="I20" s="42"/>
      <c r="J20" s="43"/>
      <c r="K20" s="121"/>
      <c r="L20" s="76"/>
      <c r="M20" s="24"/>
      <c r="O20" s="4" t="s">
        <v>80</v>
      </c>
    </row>
    <row r="21" spans="1:15" ht="18" customHeight="1">
      <c r="A21" s="115">
        <v>7</v>
      </c>
      <c r="B21" s="117"/>
      <c r="C21" s="19"/>
      <c r="D21" s="19"/>
      <c r="E21" s="19"/>
      <c r="F21" s="49" t="str">
        <f t="shared" si="0"/>
        <v xml:space="preserve"> </v>
      </c>
      <c r="G21" s="18"/>
      <c r="H21" s="75" t="str">
        <f t="shared" si="1"/>
        <v>　</v>
      </c>
      <c r="I21" s="42"/>
      <c r="J21" s="43"/>
      <c r="K21" s="120"/>
      <c r="L21" s="76"/>
      <c r="M21" s="24"/>
      <c r="N21" s="48" t="s">
        <v>15</v>
      </c>
      <c r="O21" s="4" t="s">
        <v>81</v>
      </c>
    </row>
    <row r="22" spans="1:15" ht="18" customHeight="1">
      <c r="A22" s="115"/>
      <c r="B22" s="118"/>
      <c r="C22" s="19"/>
      <c r="D22" s="19"/>
      <c r="E22" s="19"/>
      <c r="F22" s="49" t="str">
        <f t="shared" si="0"/>
        <v xml:space="preserve"> </v>
      </c>
      <c r="G22" s="18"/>
      <c r="H22" s="75" t="str">
        <f t="shared" si="1"/>
        <v>　</v>
      </c>
      <c r="I22" s="42"/>
      <c r="J22" s="43"/>
      <c r="K22" s="121"/>
      <c r="L22" s="76"/>
      <c r="M22" s="24"/>
      <c r="N22" s="4" t="s">
        <v>14</v>
      </c>
      <c r="O22" s="4" t="s">
        <v>82</v>
      </c>
    </row>
    <row r="23" spans="1:15" ht="18" customHeight="1">
      <c r="A23" s="115">
        <v>8</v>
      </c>
      <c r="B23" s="117"/>
      <c r="C23" s="19"/>
      <c r="D23" s="19"/>
      <c r="E23" s="19"/>
      <c r="F23" s="49" t="str">
        <f t="shared" si="0"/>
        <v xml:space="preserve"> </v>
      </c>
      <c r="G23" s="18"/>
      <c r="H23" s="75" t="str">
        <f t="shared" si="1"/>
        <v>　</v>
      </c>
      <c r="I23" s="42"/>
      <c r="J23" s="43"/>
      <c r="K23" s="120"/>
      <c r="L23" s="76"/>
      <c r="M23" s="24"/>
      <c r="O23" s="4" t="s">
        <v>83</v>
      </c>
    </row>
    <row r="24" spans="1:15" s="10" customFormat="1" ht="18" customHeight="1">
      <c r="A24" s="115"/>
      <c r="B24" s="118"/>
      <c r="C24" s="19"/>
      <c r="D24" s="19"/>
      <c r="E24" s="19"/>
      <c r="F24" s="49" t="str">
        <f t="shared" si="0"/>
        <v xml:space="preserve"> </v>
      </c>
      <c r="G24" s="18"/>
      <c r="H24" s="75" t="str">
        <f t="shared" si="1"/>
        <v>　</v>
      </c>
      <c r="I24" s="42"/>
      <c r="J24" s="43"/>
      <c r="K24" s="121"/>
      <c r="L24" s="76"/>
      <c r="M24" s="24"/>
      <c r="N24" s="10" t="s">
        <v>59</v>
      </c>
      <c r="O24" s="4" t="s">
        <v>84</v>
      </c>
    </row>
    <row r="25" spans="1:15" ht="18" customHeight="1">
      <c r="A25" s="115">
        <v>9</v>
      </c>
      <c r="B25" s="117"/>
      <c r="C25" s="19"/>
      <c r="D25" s="19"/>
      <c r="E25" s="19"/>
      <c r="F25" s="49" t="str">
        <f t="shared" si="0"/>
        <v xml:space="preserve"> </v>
      </c>
      <c r="G25" s="18"/>
      <c r="H25" s="75" t="str">
        <f t="shared" si="1"/>
        <v>　</v>
      </c>
      <c r="I25" s="42"/>
      <c r="J25" s="43"/>
      <c r="K25" s="120"/>
      <c r="L25" s="76"/>
      <c r="M25" s="24"/>
      <c r="N25" s="4" t="s">
        <v>60</v>
      </c>
      <c r="O25" s="4" t="s">
        <v>85</v>
      </c>
    </row>
    <row r="26" spans="1:15" ht="18" customHeight="1">
      <c r="A26" s="115"/>
      <c r="B26" s="118"/>
      <c r="C26" s="19"/>
      <c r="D26" s="19"/>
      <c r="E26" s="19"/>
      <c r="F26" s="49" t="str">
        <f t="shared" si="0"/>
        <v xml:space="preserve"> </v>
      </c>
      <c r="G26" s="18"/>
      <c r="H26" s="75" t="str">
        <f t="shared" si="1"/>
        <v>　</v>
      </c>
      <c r="I26" s="42"/>
      <c r="J26" s="43"/>
      <c r="K26" s="121"/>
      <c r="L26" s="76"/>
      <c r="M26" s="24"/>
      <c r="O26" s="4" t="s">
        <v>86</v>
      </c>
    </row>
    <row r="27" spans="1:15" ht="18" customHeight="1">
      <c r="A27" s="115">
        <v>10</v>
      </c>
      <c r="B27" s="117"/>
      <c r="C27" s="19"/>
      <c r="D27" s="19"/>
      <c r="E27" s="19"/>
      <c r="F27" s="49" t="str">
        <f t="shared" si="0"/>
        <v xml:space="preserve"> </v>
      </c>
      <c r="G27" s="18"/>
      <c r="H27" s="75" t="str">
        <f t="shared" si="1"/>
        <v>　</v>
      </c>
      <c r="I27" s="42"/>
      <c r="J27" s="43"/>
      <c r="K27" s="120"/>
      <c r="L27" s="76"/>
      <c r="M27" s="24"/>
      <c r="O27" s="4" t="s">
        <v>107</v>
      </c>
    </row>
    <row r="28" spans="1:15" ht="18" customHeight="1" thickBot="1">
      <c r="A28" s="116"/>
      <c r="B28" s="119"/>
      <c r="C28" s="35"/>
      <c r="D28" s="35"/>
      <c r="E28" s="35"/>
      <c r="F28" s="50" t="str">
        <f>IF(C28=""," ",(2000))</f>
        <v xml:space="preserve"> </v>
      </c>
      <c r="G28" s="34"/>
      <c r="H28" s="77" t="str">
        <f>IF(I28="","　",(INT(((DATE(2026,4,1)-I28))/365.25)))</f>
        <v>　</v>
      </c>
      <c r="I28" s="44"/>
      <c r="J28" s="45"/>
      <c r="K28" s="122"/>
      <c r="L28" s="46"/>
      <c r="M28" s="24"/>
      <c r="O28" s="4" t="s">
        <v>108</v>
      </c>
    </row>
    <row r="29" spans="1:15" ht="18" customHeight="1" thickBot="1">
      <c r="A29" s="7"/>
      <c r="B29" s="21"/>
      <c r="C29" s="22"/>
      <c r="D29" s="22"/>
      <c r="E29" s="22"/>
      <c r="F29" s="60">
        <f>SUM(F9:F28)</f>
        <v>0</v>
      </c>
      <c r="G29" s="15">
        <f>COUNTIF(G9:G28,"ふるさと")</f>
        <v>0</v>
      </c>
      <c r="H29" s="23"/>
      <c r="I29" s="24"/>
      <c r="J29" s="24"/>
      <c r="K29" s="24"/>
      <c r="L29" s="48">
        <f>COUNTIF(L9:L28,"未")</f>
        <v>0</v>
      </c>
      <c r="M29" s="48"/>
      <c r="O29" s="4" t="s">
        <v>109</v>
      </c>
    </row>
    <row r="30" spans="1:15" ht="15" customHeight="1">
      <c r="B30" s="88" t="s">
        <v>70</v>
      </c>
      <c r="C30" s="89">
        <f>COUNTIF($B$8:$B$28,"30MD")</f>
        <v>0</v>
      </c>
      <c r="D30" s="88" t="s">
        <v>77</v>
      </c>
      <c r="E30" s="89">
        <f>COUNTIF($B$8:$B$28,"65MD")</f>
        <v>0</v>
      </c>
      <c r="F30" s="88" t="s">
        <v>83</v>
      </c>
      <c r="G30" s="89">
        <f>COUNTIF($B$8:$B$28,"45WD")</f>
        <v>0</v>
      </c>
      <c r="H30" s="88" t="s">
        <v>110</v>
      </c>
      <c r="I30" s="89">
        <f>COUNTIF($B$8:$B$28,"80WD")</f>
        <v>0</v>
      </c>
      <c r="J30" s="88" t="s">
        <v>87</v>
      </c>
      <c r="K30" s="89">
        <f>COUNTIF($B$8:$B$28,"60XD")</f>
        <v>0</v>
      </c>
      <c r="L30" s="98" t="s">
        <v>64</v>
      </c>
      <c r="M30" s="99">
        <f>COUNTIF(B9:B28,"*MD*")</f>
        <v>0</v>
      </c>
      <c r="O30" s="4" t="s">
        <v>110</v>
      </c>
    </row>
    <row r="31" spans="1:15" ht="15" customHeight="1">
      <c r="B31" s="90" t="s">
        <v>71</v>
      </c>
      <c r="C31" s="91">
        <f>COUNTIF($B$8:$B$28,"35MD")</f>
        <v>0</v>
      </c>
      <c r="D31" s="90" t="s">
        <v>78</v>
      </c>
      <c r="E31" s="91">
        <f>COUNTIF($B$8:$B$28,"70MD")</f>
        <v>0</v>
      </c>
      <c r="F31" s="90" t="s">
        <v>84</v>
      </c>
      <c r="G31" s="91">
        <f>COUNTIF($B$8:$B$28,"50WD")</f>
        <v>0</v>
      </c>
      <c r="H31" s="90" t="s">
        <v>111</v>
      </c>
      <c r="I31" s="91">
        <f>COUNTIF($B$8:$B$28,"30XD")</f>
        <v>0</v>
      </c>
      <c r="J31" s="90" t="s">
        <v>117</v>
      </c>
      <c r="K31" s="91">
        <f>COUNTIF($B$8:$B$28,"65XD")</f>
        <v>0</v>
      </c>
      <c r="L31" s="102" t="s">
        <v>65</v>
      </c>
      <c r="M31" s="111">
        <f>COUNTIF(B9:B28,"*WD*")</f>
        <v>0</v>
      </c>
      <c r="O31" s="4" t="s">
        <v>111</v>
      </c>
    </row>
    <row r="32" spans="1:15" ht="15" customHeight="1" thickBot="1">
      <c r="B32" s="90" t="s">
        <v>72</v>
      </c>
      <c r="C32" s="91">
        <f>COUNTIF($B$8:$B$28,"40MD")</f>
        <v>0</v>
      </c>
      <c r="D32" s="90" t="s">
        <v>79</v>
      </c>
      <c r="E32" s="91">
        <f>COUNTIF($B$8:$B$28,"75MD")</f>
        <v>0</v>
      </c>
      <c r="F32" s="90" t="s">
        <v>85</v>
      </c>
      <c r="G32" s="91">
        <f>COUNTIF($B$8:$B$28,"55WD")</f>
        <v>0</v>
      </c>
      <c r="H32" s="90" t="s">
        <v>112</v>
      </c>
      <c r="I32" s="91">
        <f>COUNTIF($B$8:$B$28,"35XD")</f>
        <v>0</v>
      </c>
      <c r="J32" s="90" t="s">
        <v>88</v>
      </c>
      <c r="K32" s="91">
        <f>COUNTIF($B$8:$B$28,"70XD")</f>
        <v>0</v>
      </c>
      <c r="L32" s="100" t="s">
        <v>66</v>
      </c>
      <c r="M32" s="101">
        <f>SUM(I31:I36)+SUM(K30:K34)</f>
        <v>0</v>
      </c>
      <c r="O32" s="4" t="s">
        <v>112</v>
      </c>
    </row>
    <row r="33" spans="2:15" ht="15" customHeight="1">
      <c r="B33" s="90" t="s">
        <v>73</v>
      </c>
      <c r="C33" s="91">
        <f>COUNTIF($B$8:$B$28,"45MD")</f>
        <v>0</v>
      </c>
      <c r="D33" s="90" t="s">
        <v>119</v>
      </c>
      <c r="E33" s="91">
        <f>COUNTIF($B$8:$B$28,"80MD")</f>
        <v>0</v>
      </c>
      <c r="F33" s="90" t="s">
        <v>86</v>
      </c>
      <c r="G33" s="91">
        <f>COUNTIF($B$8:$B$28,"60WD")</f>
        <v>0</v>
      </c>
      <c r="H33" s="90" t="s">
        <v>113</v>
      </c>
      <c r="I33" s="91">
        <f>COUNTIF($B$8:$B$28,"40XD")</f>
        <v>0</v>
      </c>
      <c r="J33" s="90" t="s">
        <v>118</v>
      </c>
      <c r="K33" s="91">
        <f>COUNTIF($B$8:$B$28,"75XD")</f>
        <v>0</v>
      </c>
      <c r="L33" s="103"/>
      <c r="M33" s="103"/>
      <c r="O33" s="4" t="s">
        <v>113</v>
      </c>
    </row>
    <row r="34" spans="2:15" ht="15" customHeight="1" thickBot="1">
      <c r="B34" s="90" t="s">
        <v>74</v>
      </c>
      <c r="C34" s="91">
        <f>COUNTIF($B$8:$B$28,"50MD")</f>
        <v>0</v>
      </c>
      <c r="D34" s="90" t="s">
        <v>80</v>
      </c>
      <c r="E34" s="91">
        <f>COUNTIF($B$8:$B$28,"30WD")</f>
        <v>0</v>
      </c>
      <c r="F34" s="90" t="s">
        <v>107</v>
      </c>
      <c r="G34" s="91">
        <f>COUNTIF($B$8:$B$28,"65WD")</f>
        <v>0</v>
      </c>
      <c r="H34" s="90" t="s">
        <v>114</v>
      </c>
      <c r="I34" s="91">
        <f>COUNTIF($B$8:$B$28,"45XD")</f>
        <v>0</v>
      </c>
      <c r="J34" s="92" t="s">
        <v>89</v>
      </c>
      <c r="K34" s="93">
        <f>COUNTIF($B$8:$B$28,"80XD")</f>
        <v>0</v>
      </c>
      <c r="L34" s="7"/>
      <c r="M34" s="7"/>
      <c r="O34" s="4" t="s">
        <v>114</v>
      </c>
    </row>
    <row r="35" spans="2:15" ht="15" customHeight="1" thickBot="1">
      <c r="B35" s="96" t="s">
        <v>75</v>
      </c>
      <c r="C35" s="91">
        <f>COUNTIF($B$8:$B$28,"55MD")</f>
        <v>0</v>
      </c>
      <c r="D35" s="96" t="s">
        <v>81</v>
      </c>
      <c r="E35" s="91">
        <f>COUNTIF($B$8:$B$28,"35WD")</f>
        <v>0</v>
      </c>
      <c r="F35" s="90" t="s">
        <v>108</v>
      </c>
      <c r="G35" s="91">
        <f>COUNTIF($B$8:$B$28,"70WD")</f>
        <v>0</v>
      </c>
      <c r="H35" s="96" t="s">
        <v>115</v>
      </c>
      <c r="I35" s="91">
        <f>COUNTIF($B$8:$B$28,"50XD")</f>
        <v>0</v>
      </c>
      <c r="J35" s="7"/>
      <c r="K35" s="7"/>
      <c r="L35" s="7"/>
      <c r="M35" s="7"/>
      <c r="O35" s="4" t="s">
        <v>115</v>
      </c>
    </row>
    <row r="36" spans="2:15" ht="15" customHeight="1" thickBot="1">
      <c r="B36" s="92" t="s">
        <v>76</v>
      </c>
      <c r="C36" s="93">
        <f>COUNTIF($B$8:$B$28,"60MD")</f>
        <v>0</v>
      </c>
      <c r="D36" s="92" t="s">
        <v>82</v>
      </c>
      <c r="E36" s="93">
        <f>COUNTIF($B$8:$B$28,"40WD")</f>
        <v>0</v>
      </c>
      <c r="F36" s="92" t="s">
        <v>109</v>
      </c>
      <c r="G36" s="93">
        <f>COUNTIF($B$8:$B$28,"75WD")</f>
        <v>0</v>
      </c>
      <c r="H36" s="92" t="s">
        <v>116</v>
      </c>
      <c r="I36" s="93">
        <f>COUNTIF($B$8:$B$28,"55XD")</f>
        <v>0</v>
      </c>
      <c r="J36" s="176" t="s">
        <v>54</v>
      </c>
      <c r="K36" s="177">
        <f>SUM(C30:C36)+SUM(E30:E36)+SUM(G30:G36)+SUM(I30:I36)+SUM(K30:K34)</f>
        <v>0</v>
      </c>
      <c r="L36" s="7"/>
      <c r="M36" s="7"/>
      <c r="O36" s="4" t="s">
        <v>116</v>
      </c>
    </row>
    <row r="37" spans="2:15" ht="15" customHeight="1">
      <c r="B37" s="97"/>
      <c r="C37" s="97"/>
      <c r="O37" s="4" t="s">
        <v>87</v>
      </c>
    </row>
    <row r="38" spans="2:15" ht="15" customHeight="1">
      <c r="B38" s="7"/>
      <c r="C38" s="7"/>
      <c r="O38" s="4" t="s">
        <v>117</v>
      </c>
    </row>
    <row r="39" spans="2:15" ht="15" customHeight="1">
      <c r="B39" s="7"/>
      <c r="C39" s="7"/>
      <c r="O39" s="4" t="s">
        <v>88</v>
      </c>
    </row>
    <row r="40" spans="2:15" ht="15" customHeight="1">
      <c r="B40" s="7"/>
      <c r="C40" s="7"/>
      <c r="O40" s="4" t="s">
        <v>118</v>
      </c>
    </row>
    <row r="41" spans="2:15" ht="15" customHeight="1">
      <c r="B41" s="7"/>
      <c r="C41" s="7"/>
      <c r="O41" s="4" t="s">
        <v>89</v>
      </c>
    </row>
    <row r="42" spans="2:15" ht="15" customHeight="1">
      <c r="B42" s="7"/>
      <c r="C42" s="7"/>
    </row>
    <row r="43" spans="2:15" ht="15" customHeight="1">
      <c r="B43" s="7"/>
      <c r="C43" s="7"/>
    </row>
    <row r="44" spans="2:15" ht="15" customHeight="1">
      <c r="B44" s="7"/>
      <c r="C44" s="7"/>
    </row>
    <row r="45" spans="2:15" ht="15" customHeight="1">
      <c r="B45" s="7"/>
      <c r="C45" s="7"/>
    </row>
    <row r="46" spans="2:15" ht="15" customHeight="1">
      <c r="B46" s="7"/>
      <c r="C46" s="7"/>
    </row>
    <row r="47" spans="2:15" ht="15" customHeight="1">
      <c r="B47" s="7"/>
      <c r="C47" s="7"/>
    </row>
    <row r="48" spans="2:15" ht="15" customHeight="1">
      <c r="B48" s="7"/>
      <c r="C48" s="7"/>
    </row>
    <row r="49" spans="2:3" ht="15" customHeight="1">
      <c r="B49" s="7"/>
      <c r="C49" s="7"/>
    </row>
    <row r="50" spans="2:3" ht="15" customHeight="1">
      <c r="B50" s="7"/>
      <c r="C50" s="7"/>
    </row>
    <row r="51" spans="2:3" ht="15" customHeight="1">
      <c r="B51" s="7"/>
      <c r="C51" s="7"/>
    </row>
    <row r="52" spans="2:3" ht="15" customHeight="1">
      <c r="B52" s="7"/>
      <c r="C52" s="7"/>
    </row>
    <row r="53" spans="2:3" ht="15" customHeight="1">
      <c r="B53" s="7"/>
      <c r="C53" s="7"/>
    </row>
    <row r="54" spans="2:3" ht="15" customHeight="1">
      <c r="B54" s="7"/>
      <c r="C54" s="7"/>
    </row>
    <row r="55" spans="2:3" ht="15" customHeight="1">
      <c r="B55" s="7"/>
      <c r="C55" s="7"/>
    </row>
    <row r="56" spans="2:3" ht="15" customHeight="1">
      <c r="B56" s="7"/>
      <c r="C56" s="7"/>
    </row>
    <row r="57" spans="2:3" ht="15" customHeight="1">
      <c r="B57" s="7"/>
      <c r="C57" s="7"/>
    </row>
    <row r="58" spans="2:3" ht="15" customHeight="1">
      <c r="B58" s="7"/>
      <c r="C58" s="7"/>
    </row>
    <row r="59" spans="2:3" ht="15" customHeight="1">
      <c r="B59" s="7"/>
      <c r="C59" s="7"/>
    </row>
    <row r="60" spans="2:3" ht="15" customHeight="1">
      <c r="C60" s="87"/>
    </row>
    <row r="61" spans="2:3" ht="15" customHeight="1"/>
    <row r="62" spans="2:3" ht="15" customHeight="1"/>
    <row r="63" spans="2:3" ht="15" customHeight="1"/>
    <row r="64" spans="2:3" ht="15" customHeight="1"/>
    <row r="65" ht="15" customHeight="1"/>
    <row r="66" ht="15" customHeight="1"/>
    <row r="67" ht="15" customHeight="1"/>
    <row r="68" ht="18.75" customHeight="1"/>
    <row r="69" ht="18.75" customHeight="1"/>
    <row r="70" ht="18.75" customHeight="1"/>
    <row r="71" ht="18.75" customHeight="1"/>
    <row r="72" ht="18.75" customHeight="1"/>
  </sheetData>
  <protectedRanges>
    <protectedRange sqref="B9:B28" name="範囲1"/>
  </protectedRanges>
  <mergeCells count="40">
    <mergeCell ref="A1:J1"/>
    <mergeCell ref="A19:A20"/>
    <mergeCell ref="A15:A16"/>
    <mergeCell ref="A17:A18"/>
    <mergeCell ref="B13:B14"/>
    <mergeCell ref="B15:B16"/>
    <mergeCell ref="B17:B18"/>
    <mergeCell ref="A7:A8"/>
    <mergeCell ref="I2:L2"/>
    <mergeCell ref="I3:L3"/>
    <mergeCell ref="E2:G2"/>
    <mergeCell ref="E3:G3"/>
    <mergeCell ref="A9:A10"/>
    <mergeCell ref="B19:B20"/>
    <mergeCell ref="A5:L5"/>
    <mergeCell ref="B7:B8"/>
    <mergeCell ref="B9:B10"/>
    <mergeCell ref="B11:B12"/>
    <mergeCell ref="B21:B22"/>
    <mergeCell ref="P6:T7"/>
    <mergeCell ref="K7:K8"/>
    <mergeCell ref="K9:K10"/>
    <mergeCell ref="K11:K12"/>
    <mergeCell ref="K13:K14"/>
    <mergeCell ref="K25:K26"/>
    <mergeCell ref="K27:K28"/>
    <mergeCell ref="K15:K16"/>
    <mergeCell ref="K17:K18"/>
    <mergeCell ref="K19:K20"/>
    <mergeCell ref="K21:K22"/>
    <mergeCell ref="K23:K24"/>
    <mergeCell ref="A11:A12"/>
    <mergeCell ref="A13:A14"/>
    <mergeCell ref="A27:A28"/>
    <mergeCell ref="A25:A26"/>
    <mergeCell ref="B25:B26"/>
    <mergeCell ref="A21:A22"/>
    <mergeCell ref="B27:B28"/>
    <mergeCell ref="A23:A24"/>
    <mergeCell ref="B23:B24"/>
  </mergeCells>
  <phoneticPr fontId="1"/>
  <conditionalFormatting sqref="B9:B28">
    <cfRule type="cellIs" dxfId="10" priority="9" operator="equal">
      <formula>"*MD*"</formula>
    </cfRule>
  </conditionalFormatting>
  <conditionalFormatting sqref="C30:C36">
    <cfRule type="cellIs" dxfId="9" priority="7" operator="greaterThan">
      <formula>0</formula>
    </cfRule>
  </conditionalFormatting>
  <conditionalFormatting sqref="E30:E36">
    <cfRule type="cellIs" dxfId="8" priority="6" operator="greaterThan">
      <formula>0</formula>
    </cfRule>
  </conditionalFormatting>
  <conditionalFormatting sqref="G9:G28">
    <cfRule type="containsText" dxfId="7" priority="11" operator="containsText" text="ふるさと">
      <formula>NOT(ISERROR(SEARCH("ふるさと",G9)))</formula>
    </cfRule>
  </conditionalFormatting>
  <conditionalFormatting sqref="G30:G36">
    <cfRule type="cellIs" dxfId="6" priority="5" operator="greaterThan">
      <formula>0</formula>
    </cfRule>
  </conditionalFormatting>
  <conditionalFormatting sqref="I30:I36">
    <cfRule type="cellIs" dxfId="5" priority="4" operator="greaterThan">
      <formula>0</formula>
    </cfRule>
  </conditionalFormatting>
  <conditionalFormatting sqref="K9:K28">
    <cfRule type="cellIs" dxfId="4" priority="8" operator="equal">
      <formula>"否"</formula>
    </cfRule>
  </conditionalFormatting>
  <conditionalFormatting sqref="K30:K35">
    <cfRule type="cellIs" dxfId="3" priority="3" operator="greaterThan">
      <formula>0</formula>
    </cfRule>
  </conditionalFormatting>
  <conditionalFormatting sqref="L9:M28">
    <cfRule type="containsText" dxfId="2" priority="10" operator="containsText" text="未">
      <formula>NOT(ISERROR(SEARCH("未",L9)))</formula>
    </cfRule>
  </conditionalFormatting>
  <conditionalFormatting sqref="K9:K10">
    <cfRule type="containsText" dxfId="1" priority="2" operator="containsText" text="可">
      <formula>NOT(ISERROR(SEARCH("可",K9)))</formula>
    </cfRule>
  </conditionalFormatting>
  <conditionalFormatting sqref="K11:K28">
    <cfRule type="containsText" dxfId="0" priority="1" operator="containsText" text="可">
      <formula>NOT(ISERROR(SEARCH("可",K11)))</formula>
    </cfRule>
  </conditionalFormatting>
  <dataValidations xWindow="256" yWindow="680" count="14">
    <dataValidation type="list" allowBlank="1" showInputMessage="1" showErrorMessage="1" promptTitle="登録地区" prompt="登録地区を選択してください" sqref="N13:N19" xr:uid="{F6003155-A568-497E-81D3-E5A92D7FC8A2}">
      <formula1>$N$13:$N$19</formula1>
    </dataValidation>
    <dataValidation type="list" allowBlank="1" showInputMessage="1" showErrorMessage="1" sqref="N22" xr:uid="{C7AF51D3-18F0-4C7D-9610-5C9C3BBB0EEB}">
      <formula1>$L$9:$L$28</formula1>
    </dataValidation>
    <dataValidation type="list" allowBlank="1" showInputMessage="1" showErrorMessage="1" sqref="G9:G28" xr:uid="{503D5AC2-48D5-49AC-80B6-4439F747436C}">
      <formula1>$N$13:$N$19</formula1>
    </dataValidation>
    <dataValidation type="list" allowBlank="1" showInputMessage="1" showErrorMessage="1" promptTitle="県登録" prompt="県登録の_x000a_" sqref="L8:M8" xr:uid="{95E37B75-2B22-46FB-9430-7A0CB1B3B5AA}">
      <formula1>$N$21:$N$22</formula1>
    </dataValidation>
    <dataValidation type="list" allowBlank="1" showInputMessage="1" showErrorMessage="1" promptTitle="県登録" prompt="県登録の_x000a_確認です_x000a_" sqref="L7:M7" xr:uid="{1024F6CA-0ED9-486E-84AA-C0A7097C67D9}">
      <formula1>$N$21:$N$22</formula1>
    </dataValidation>
    <dataValidation allowBlank="1" showInputMessage="1" showErrorMessage="1" promptTitle="種別" sqref="F7:F8" xr:uid="{561FC99B-E314-4503-A746-6D0A96CC66EE}"/>
    <dataValidation allowBlank="1" showErrorMessage="1" promptTitle="種別" prompt="参加費金額_x000a_を入力してください。" sqref="F9:F28" xr:uid="{BB87B225-2FEC-4EC4-B0A0-720E33D9F0BB}"/>
    <dataValidation allowBlank="1" showErrorMessage="1" sqref="F29" xr:uid="{E7818039-BB0F-4002-BD01-BC706F72A9EB}"/>
    <dataValidation type="list" allowBlank="1" showInputMessage="1" showErrorMessage="1" sqref="L10:M28 L9" xr:uid="{7A36CE61-8CFB-488E-993C-52657D0B0FAE}">
      <formula1>$N$21:$N$22</formula1>
    </dataValidation>
    <dataValidation type="list" allowBlank="1" showInputMessage="1" showErrorMessage="1" prompt="▼をクリックして選択して下さい" sqref="M9" xr:uid="{EC6ED683-7208-4E66-8F8B-9C78D1A8ABB7}">
      <formula1>$N$21:$N$22</formula1>
    </dataValidation>
    <dataValidation type="list" allowBlank="1" showInputMessage="1" showErrorMessage="1" sqref="K7 K9:K28" xr:uid="{14FC07FF-A80A-4822-AE09-6CB226800B5B}">
      <formula1>$N$24:$N$25</formula1>
    </dataValidation>
    <dataValidation type="list" allowBlank="1" showInputMessage="1" showErrorMessage="1" promptTitle="種別" prompt="年齢区分を入力してください。" sqref="B29" xr:uid="{E9E4AE8D-E9BB-4C79-981D-0454B072634D}">
      <formula1>$O$9:$O$18</formula1>
    </dataValidation>
    <dataValidation type="list" allowBlank="1" showInputMessage="1" showErrorMessage="1" promptTitle="種別" sqref="B7:B8" xr:uid="{05B1C00E-03BB-4254-A7AE-4297E959A2C8}">
      <formula1>$O$9:$O$18</formula1>
    </dataValidation>
    <dataValidation type="list" allowBlank="1" showInputMessage="1" showErrorMessage="1" sqref="B9:B28" xr:uid="{0AA24B5B-F80A-473C-8BE0-315D26888C8B}">
      <formula1>$O$9:$O$41</formula1>
    </dataValidation>
  </dataValidations>
  <printOptions horizontalCentered="1"/>
  <pageMargins left="0.23622047244094491" right="0.23622047244094491" top="0.15748031496062992" bottom="0.15748031496062992" header="0.11811023622047245" footer="0.31496062992125984"/>
  <pageSetup paperSize="9" scale="85" fitToWidth="0" orientation="landscape" horizontalDpi="4294967293" r:id="rId1"/>
  <ignoredErrors>
    <ignoredError sqref="E3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2256-F89B-45D9-9205-FFD24091C30F}">
  <sheetPr codeName="Sheet2"/>
  <dimension ref="A1:S67"/>
  <sheetViews>
    <sheetView view="pageBreakPreview" zoomScale="90" zoomScaleNormal="84" zoomScaleSheetLayoutView="90" workbookViewId="0">
      <selection activeCell="H11" sqref="H11"/>
    </sheetView>
  </sheetViews>
  <sheetFormatPr defaultRowHeight="18"/>
  <cols>
    <col min="1" max="1" width="4.5" customWidth="1"/>
    <col min="2" max="2" width="10.5" customWidth="1"/>
    <col min="3" max="3" width="10.9140625" customWidth="1"/>
    <col min="4" max="4" width="15.4140625" customWidth="1"/>
    <col min="5" max="5" width="11" customWidth="1"/>
    <col min="6" max="6" width="9.83203125" customWidth="1"/>
    <col min="7" max="7" width="10.08203125" customWidth="1"/>
    <col min="8" max="8" width="9.83203125" customWidth="1"/>
    <col min="9" max="9" width="12.75" customWidth="1"/>
    <col min="10" max="10" width="16.6640625" customWidth="1"/>
    <col min="11" max="11" width="10.1640625" customWidth="1"/>
    <col min="12" max="12" width="15.6640625" customWidth="1"/>
    <col min="13" max="14" width="15.6640625" hidden="1" customWidth="1"/>
    <col min="15" max="16" width="15.6640625" customWidth="1"/>
  </cols>
  <sheetData>
    <row r="1" spans="1:19" ht="23" customHeight="1" thickBot="1">
      <c r="A1" s="126" t="str">
        <f>①ダブルス!A1</f>
        <v>２０２６ 福島県総合シニアバドミントン選手権大会申し込み書</v>
      </c>
      <c r="B1" s="126"/>
      <c r="C1" s="126"/>
      <c r="D1" s="126"/>
      <c r="E1" s="126"/>
      <c r="F1" s="126"/>
      <c r="G1" s="126"/>
      <c r="H1" s="126"/>
      <c r="I1" s="126"/>
      <c r="J1" s="126"/>
      <c r="K1" s="58"/>
    </row>
    <row r="2" spans="1:19" ht="18.5" thickTop="1">
      <c r="A2" s="2"/>
      <c r="B2" s="2"/>
      <c r="C2" s="2"/>
      <c r="D2" s="147" t="s">
        <v>129</v>
      </c>
      <c r="E2" s="148">
        <f>①ダブルス!E2</f>
        <v>0</v>
      </c>
      <c r="F2" s="149"/>
      <c r="G2" s="150"/>
      <c r="H2" s="151" t="s">
        <v>25</v>
      </c>
      <c r="I2" s="152">
        <f>①ダブルス!I2</f>
        <v>0</v>
      </c>
      <c r="J2" s="152"/>
      <c r="K2" s="152"/>
      <c r="L2" s="153"/>
    </row>
    <row r="3" spans="1:19" ht="18.5" thickBot="1">
      <c r="D3" s="154" t="s">
        <v>24</v>
      </c>
      <c r="E3" s="155">
        <f>①ダブルス!E3</f>
        <v>0</v>
      </c>
      <c r="F3" s="156"/>
      <c r="G3" s="157"/>
      <c r="H3" s="158" t="s">
        <v>26</v>
      </c>
      <c r="I3" s="159">
        <f>①ダブルス!I3</f>
        <v>0</v>
      </c>
      <c r="J3" s="159"/>
      <c r="K3" s="159"/>
      <c r="L3" s="160"/>
    </row>
    <row r="4" spans="1:19" ht="18.5" thickTop="1"/>
    <row r="5" spans="1:19" ht="18.5" thickBot="1">
      <c r="A5" s="114" t="s">
        <v>58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O5" s="112"/>
      <c r="P5" s="112"/>
      <c r="Q5" s="112"/>
      <c r="R5" s="112"/>
      <c r="S5" s="112"/>
    </row>
    <row r="6" spans="1:19" ht="30.5" thickBot="1">
      <c r="A6" s="78" t="s">
        <v>0</v>
      </c>
      <c r="B6" s="78" t="s">
        <v>67</v>
      </c>
      <c r="C6" s="78" t="s">
        <v>1</v>
      </c>
      <c r="D6" s="78" t="s">
        <v>2</v>
      </c>
      <c r="E6" s="78" t="s">
        <v>3</v>
      </c>
      <c r="F6" s="78" t="s">
        <v>52</v>
      </c>
      <c r="G6" s="78" t="s">
        <v>42</v>
      </c>
      <c r="H6" s="78" t="s">
        <v>4</v>
      </c>
      <c r="I6" s="78" t="s">
        <v>51</v>
      </c>
      <c r="J6" s="78" t="s">
        <v>13</v>
      </c>
      <c r="K6" s="78" t="s">
        <v>61</v>
      </c>
      <c r="L6" s="104" t="s">
        <v>47</v>
      </c>
      <c r="O6" s="112"/>
      <c r="P6" s="112"/>
      <c r="Q6" s="112"/>
      <c r="R6" s="112"/>
      <c r="S6" s="112"/>
    </row>
    <row r="7" spans="1:19" ht="18.5" thickBot="1">
      <c r="A7" s="78" t="s">
        <v>5</v>
      </c>
      <c r="B7" s="78" t="s">
        <v>28</v>
      </c>
      <c r="C7" s="78" t="s">
        <v>7</v>
      </c>
      <c r="D7" s="78" t="s">
        <v>50</v>
      </c>
      <c r="E7" s="78" t="s">
        <v>12</v>
      </c>
      <c r="F7" s="78">
        <v>2000</v>
      </c>
      <c r="G7" s="78" t="s">
        <v>9</v>
      </c>
      <c r="H7" s="78">
        <v>35</v>
      </c>
      <c r="I7" s="85">
        <v>32599</v>
      </c>
      <c r="J7" s="78">
        <v>1100000002</v>
      </c>
      <c r="K7" s="78" t="s">
        <v>59</v>
      </c>
      <c r="L7" s="104" t="s">
        <v>14</v>
      </c>
      <c r="N7" s="4" t="s">
        <v>16</v>
      </c>
      <c r="O7" s="51"/>
    </row>
    <row r="8" spans="1:19">
      <c r="A8" s="38">
        <v>1</v>
      </c>
      <c r="B8" s="20"/>
      <c r="C8" s="39"/>
      <c r="D8" s="39"/>
      <c r="E8" s="39"/>
      <c r="F8" s="49" t="str">
        <f>IF(C8=""," ",(2000))</f>
        <v xml:space="preserve"> </v>
      </c>
      <c r="G8" s="20"/>
      <c r="H8" s="82" t="str">
        <f>IF(I8="","　",(INT(((DATE(2026,4,1)-I8))/365.25)))</f>
        <v>　</v>
      </c>
      <c r="I8" s="40"/>
      <c r="J8" s="41"/>
      <c r="K8" s="41"/>
      <c r="L8" s="81"/>
      <c r="N8" s="4" t="s">
        <v>90</v>
      </c>
      <c r="O8" s="51"/>
    </row>
    <row r="9" spans="1:19">
      <c r="A9" s="32">
        <v>2</v>
      </c>
      <c r="B9" s="18"/>
      <c r="C9" s="19"/>
      <c r="D9" s="19"/>
      <c r="E9" s="19"/>
      <c r="F9" s="49" t="str">
        <f>IF(C9=""," ",(2000))</f>
        <v xml:space="preserve"> </v>
      </c>
      <c r="G9" s="18"/>
      <c r="H9" s="83" t="str">
        <f>IF(I9="","　",(INT(((DATE(2026,4,1)-I9))/365.25)))</f>
        <v>　</v>
      </c>
      <c r="I9" s="17"/>
      <c r="J9" s="16"/>
      <c r="K9" s="41"/>
      <c r="L9" s="79"/>
      <c r="N9" s="4" t="s">
        <v>91</v>
      </c>
      <c r="O9" s="51"/>
    </row>
    <row r="10" spans="1:19">
      <c r="A10" s="32">
        <v>3</v>
      </c>
      <c r="B10" s="18"/>
      <c r="C10" s="19"/>
      <c r="D10" s="19"/>
      <c r="E10" s="19"/>
      <c r="F10" s="49" t="str">
        <f t="shared" ref="F10:F25" si="0">IF(C10=""," ",(2000))</f>
        <v xml:space="preserve"> </v>
      </c>
      <c r="G10" s="18"/>
      <c r="H10" s="83" t="str">
        <f t="shared" ref="H10:H26" si="1">IF(I10="","　",(INT(((DATE(2026,4,1)-I10))/365.25)))</f>
        <v>　</v>
      </c>
      <c r="I10" s="17"/>
      <c r="J10" s="16"/>
      <c r="K10" s="41"/>
      <c r="L10" s="79"/>
      <c r="N10" s="4" t="s">
        <v>92</v>
      </c>
    </row>
    <row r="11" spans="1:19">
      <c r="A11" s="32">
        <v>4</v>
      </c>
      <c r="B11" s="18"/>
      <c r="C11" s="19"/>
      <c r="D11" s="19"/>
      <c r="E11" s="19"/>
      <c r="F11" s="49" t="str">
        <f t="shared" si="0"/>
        <v xml:space="preserve"> </v>
      </c>
      <c r="G11" s="18"/>
      <c r="H11" s="83" t="str">
        <f t="shared" si="1"/>
        <v>　</v>
      </c>
      <c r="I11" s="17"/>
      <c r="J11" s="16"/>
      <c r="K11" s="41"/>
      <c r="L11" s="79"/>
      <c r="N11" s="4" t="s">
        <v>93</v>
      </c>
    </row>
    <row r="12" spans="1:19">
      <c r="A12" s="32">
        <v>5</v>
      </c>
      <c r="B12" s="18"/>
      <c r="C12" s="19"/>
      <c r="D12" s="19"/>
      <c r="E12" s="19"/>
      <c r="F12" s="49" t="str">
        <f t="shared" si="0"/>
        <v xml:space="preserve"> </v>
      </c>
      <c r="G12" s="18"/>
      <c r="H12" s="83" t="str">
        <f t="shared" si="1"/>
        <v>　</v>
      </c>
      <c r="I12" s="17"/>
      <c r="J12" s="16"/>
      <c r="K12" s="41"/>
      <c r="L12" s="79"/>
      <c r="M12" t="s">
        <v>18</v>
      </c>
      <c r="N12" s="4" t="s">
        <v>94</v>
      </c>
    </row>
    <row r="13" spans="1:19">
      <c r="A13" s="32">
        <v>6</v>
      </c>
      <c r="B13" s="18"/>
      <c r="C13" s="19"/>
      <c r="D13" s="19"/>
      <c r="E13" s="19"/>
      <c r="F13" s="49" t="str">
        <f t="shared" si="0"/>
        <v xml:space="preserve"> </v>
      </c>
      <c r="G13" s="18"/>
      <c r="H13" s="83" t="str">
        <f t="shared" si="1"/>
        <v>　</v>
      </c>
      <c r="I13" s="17"/>
      <c r="J13" s="16"/>
      <c r="K13" s="41"/>
      <c r="L13" s="79"/>
      <c r="M13" t="s">
        <v>19</v>
      </c>
      <c r="N13" s="4" t="s">
        <v>95</v>
      </c>
    </row>
    <row r="14" spans="1:19">
      <c r="A14" s="32">
        <v>7</v>
      </c>
      <c r="B14" s="18"/>
      <c r="C14" s="19"/>
      <c r="D14" s="19"/>
      <c r="E14" s="19"/>
      <c r="F14" s="49" t="str">
        <f t="shared" si="0"/>
        <v xml:space="preserve"> </v>
      </c>
      <c r="G14" s="18"/>
      <c r="H14" s="83" t="str">
        <f t="shared" si="1"/>
        <v>　</v>
      </c>
      <c r="I14" s="17"/>
      <c r="J14" s="16"/>
      <c r="K14" s="41"/>
      <c r="L14" s="79"/>
      <c r="M14" t="s">
        <v>20</v>
      </c>
      <c r="N14" s="4" t="s">
        <v>96</v>
      </c>
    </row>
    <row r="15" spans="1:19">
      <c r="A15" s="32">
        <v>8</v>
      </c>
      <c r="B15" s="18"/>
      <c r="C15" s="19"/>
      <c r="D15" s="19"/>
      <c r="E15" s="19"/>
      <c r="F15" s="49" t="str">
        <f t="shared" si="0"/>
        <v xml:space="preserve"> </v>
      </c>
      <c r="G15" s="18"/>
      <c r="H15" s="83" t="str">
        <f t="shared" si="1"/>
        <v>　</v>
      </c>
      <c r="I15" s="17"/>
      <c r="J15" s="16"/>
      <c r="K15" s="41"/>
      <c r="L15" s="79"/>
      <c r="M15" t="s">
        <v>21</v>
      </c>
      <c r="N15" s="4" t="s">
        <v>97</v>
      </c>
    </row>
    <row r="16" spans="1:19">
      <c r="A16" s="32">
        <v>9</v>
      </c>
      <c r="B16" s="18"/>
      <c r="C16" s="19"/>
      <c r="D16" s="19"/>
      <c r="E16" s="19"/>
      <c r="F16" s="49" t="str">
        <f t="shared" si="0"/>
        <v xml:space="preserve"> </v>
      </c>
      <c r="G16" s="18"/>
      <c r="H16" s="83" t="str">
        <f t="shared" si="1"/>
        <v>　</v>
      </c>
      <c r="I16" s="17"/>
      <c r="J16" s="16"/>
      <c r="K16" s="41"/>
      <c r="L16" s="79"/>
      <c r="M16" t="s">
        <v>9</v>
      </c>
      <c r="N16" s="4" t="s">
        <v>98</v>
      </c>
    </row>
    <row r="17" spans="1:14">
      <c r="A17" s="32">
        <v>10</v>
      </c>
      <c r="B17" s="18"/>
      <c r="C17" s="19"/>
      <c r="D17" s="19"/>
      <c r="E17" s="19"/>
      <c r="F17" s="49" t="str">
        <f t="shared" si="0"/>
        <v xml:space="preserve"> </v>
      </c>
      <c r="G17" s="18"/>
      <c r="H17" s="83" t="str">
        <f t="shared" si="1"/>
        <v>　</v>
      </c>
      <c r="I17" s="17"/>
      <c r="J17" s="16"/>
      <c r="K17" s="41"/>
      <c r="L17" s="79"/>
      <c r="M17" t="s">
        <v>22</v>
      </c>
      <c r="N17" s="4" t="s">
        <v>99</v>
      </c>
    </row>
    <row r="18" spans="1:14">
      <c r="A18" s="32">
        <v>11</v>
      </c>
      <c r="B18" s="18"/>
      <c r="C18" s="19"/>
      <c r="D18" s="19"/>
      <c r="E18" s="19"/>
      <c r="F18" s="49" t="str">
        <f t="shared" si="0"/>
        <v xml:space="preserve"> </v>
      </c>
      <c r="G18" s="18"/>
      <c r="H18" s="83" t="str">
        <f t="shared" si="1"/>
        <v>　</v>
      </c>
      <c r="I18" s="17"/>
      <c r="J18" s="16"/>
      <c r="K18" s="41"/>
      <c r="L18" s="79"/>
      <c r="M18" t="s">
        <v>23</v>
      </c>
      <c r="N18" s="4" t="s">
        <v>124</v>
      </c>
    </row>
    <row r="19" spans="1:14">
      <c r="A19" s="32">
        <v>12</v>
      </c>
      <c r="B19" s="18"/>
      <c r="C19" s="19"/>
      <c r="D19" s="19"/>
      <c r="E19" s="19"/>
      <c r="F19" s="49" t="str">
        <f t="shared" si="0"/>
        <v xml:space="preserve"> </v>
      </c>
      <c r="G19" s="18"/>
      <c r="H19" s="83" t="str">
        <f t="shared" si="1"/>
        <v>　</v>
      </c>
      <c r="I19" s="17"/>
      <c r="J19" s="16"/>
      <c r="K19" s="41"/>
      <c r="L19" s="79"/>
      <c r="N19" s="4" t="s">
        <v>100</v>
      </c>
    </row>
    <row r="20" spans="1:14">
      <c r="A20" s="32">
        <v>13</v>
      </c>
      <c r="B20" s="18"/>
      <c r="C20" s="19"/>
      <c r="D20" s="19"/>
      <c r="E20" s="19"/>
      <c r="F20" s="49" t="str">
        <f t="shared" si="0"/>
        <v xml:space="preserve"> </v>
      </c>
      <c r="G20" s="18"/>
      <c r="H20" s="83" t="str">
        <f t="shared" si="1"/>
        <v>　</v>
      </c>
      <c r="I20" s="17"/>
      <c r="J20" s="16"/>
      <c r="K20" s="41"/>
      <c r="L20" s="79"/>
      <c r="M20" t="s">
        <v>27</v>
      </c>
      <c r="N20" s="4" t="s">
        <v>101</v>
      </c>
    </row>
    <row r="21" spans="1:14">
      <c r="A21" s="32">
        <v>14</v>
      </c>
      <c r="B21" s="18"/>
      <c r="C21" s="19"/>
      <c r="D21" s="19"/>
      <c r="E21" s="19"/>
      <c r="F21" s="49" t="str">
        <f>IF(C21=""," ",(2000))</f>
        <v xml:space="preserve"> </v>
      </c>
      <c r="G21" s="18"/>
      <c r="H21" s="83" t="str">
        <f t="shared" si="1"/>
        <v>　</v>
      </c>
      <c r="I21" s="17"/>
      <c r="J21" s="16"/>
      <c r="K21" s="41"/>
      <c r="L21" s="79"/>
      <c r="M21" t="s">
        <v>28</v>
      </c>
      <c r="N21" s="4" t="s">
        <v>102</v>
      </c>
    </row>
    <row r="22" spans="1:14">
      <c r="A22" s="32">
        <v>15</v>
      </c>
      <c r="B22" s="18"/>
      <c r="C22" s="19"/>
      <c r="D22" s="19"/>
      <c r="E22" s="19"/>
      <c r="F22" s="49" t="str">
        <f t="shared" si="0"/>
        <v xml:space="preserve"> </v>
      </c>
      <c r="G22" s="18"/>
      <c r="H22" s="83" t="str">
        <f t="shared" si="1"/>
        <v>　</v>
      </c>
      <c r="I22" s="17"/>
      <c r="J22" s="16"/>
      <c r="K22" s="41"/>
      <c r="L22" s="79"/>
      <c r="N22" s="4" t="s">
        <v>103</v>
      </c>
    </row>
    <row r="23" spans="1:14" s="1" customFormat="1">
      <c r="A23" s="32">
        <v>16</v>
      </c>
      <c r="B23" s="18"/>
      <c r="C23" s="19"/>
      <c r="D23" s="19"/>
      <c r="E23" s="19"/>
      <c r="F23" s="49" t="str">
        <f t="shared" si="0"/>
        <v xml:space="preserve"> </v>
      </c>
      <c r="G23" s="18"/>
      <c r="H23" s="83" t="str">
        <f t="shared" si="1"/>
        <v>　</v>
      </c>
      <c r="I23" s="17"/>
      <c r="J23" s="16"/>
      <c r="K23" s="41"/>
      <c r="L23" s="79"/>
      <c r="M23" s="86" t="s">
        <v>15</v>
      </c>
      <c r="N23" s="4" t="s">
        <v>104</v>
      </c>
    </row>
    <row r="24" spans="1:14">
      <c r="A24" s="32">
        <v>17</v>
      </c>
      <c r="B24" s="18"/>
      <c r="C24" s="19"/>
      <c r="D24" s="19"/>
      <c r="E24" s="19"/>
      <c r="F24" s="49" t="str">
        <f t="shared" si="0"/>
        <v xml:space="preserve"> </v>
      </c>
      <c r="G24" s="18"/>
      <c r="H24" s="83" t="str">
        <f t="shared" si="1"/>
        <v>　</v>
      </c>
      <c r="I24" s="17"/>
      <c r="J24" s="16"/>
      <c r="K24" s="41"/>
      <c r="L24" s="79"/>
      <c r="M24" t="s">
        <v>14</v>
      </c>
      <c r="N24" s="4" t="s">
        <v>105</v>
      </c>
    </row>
    <row r="25" spans="1:14">
      <c r="A25" s="32">
        <v>18</v>
      </c>
      <c r="B25" s="18"/>
      <c r="C25" s="19"/>
      <c r="D25" s="19"/>
      <c r="E25" s="19"/>
      <c r="F25" s="49" t="str">
        <f t="shared" si="0"/>
        <v xml:space="preserve"> </v>
      </c>
      <c r="G25" s="18"/>
      <c r="H25" s="83" t="str">
        <f t="shared" si="1"/>
        <v>　</v>
      </c>
      <c r="I25" s="17"/>
      <c r="J25" s="16"/>
      <c r="K25" s="41"/>
      <c r="L25" s="79"/>
      <c r="N25" s="4" t="s">
        <v>106</v>
      </c>
    </row>
    <row r="26" spans="1:14">
      <c r="A26" s="32">
        <v>19</v>
      </c>
      <c r="B26" s="18"/>
      <c r="C26" s="19"/>
      <c r="D26" s="19"/>
      <c r="E26" s="19"/>
      <c r="F26" s="49" t="str">
        <f t="shared" ref="F26" si="2">IF(C26=""," ",(2500))</f>
        <v xml:space="preserve"> </v>
      </c>
      <c r="G26" s="18"/>
      <c r="H26" s="83" t="str">
        <f t="shared" si="1"/>
        <v>　</v>
      </c>
      <c r="I26" s="17"/>
      <c r="J26" s="16"/>
      <c r="K26" s="41"/>
      <c r="L26" s="79"/>
      <c r="M26" t="s">
        <v>59</v>
      </c>
      <c r="N26" s="4" t="s">
        <v>120</v>
      </c>
    </row>
    <row r="27" spans="1:14" ht="18.5" thickBot="1">
      <c r="A27" s="33">
        <v>20</v>
      </c>
      <c r="B27" s="34"/>
      <c r="C27" s="35"/>
      <c r="D27" s="35"/>
      <c r="E27" s="35"/>
      <c r="F27" s="50" t="str">
        <f>IF(C27=""," ",(2200))</f>
        <v xml:space="preserve"> </v>
      </c>
      <c r="G27" s="34"/>
      <c r="H27" s="84" t="str">
        <f>IF(I27="","　",(INT(((DATE(2026,4,1)-I27))/365.25)))</f>
        <v>　</v>
      </c>
      <c r="I27" s="36"/>
      <c r="J27" s="37"/>
      <c r="K27" s="37"/>
      <c r="L27" s="80"/>
      <c r="M27" t="s">
        <v>62</v>
      </c>
      <c r="N27" s="4" t="s">
        <v>121</v>
      </c>
    </row>
    <row r="28" spans="1:14" ht="18.5" thickBot="1">
      <c r="C28" s="4"/>
      <c r="D28" s="4"/>
      <c r="E28" s="4"/>
      <c r="F28" s="61">
        <f>SUM(F8:F27)</f>
        <v>0</v>
      </c>
      <c r="G28" s="15">
        <f>COUNTIF(G8:G27,"ふるさと")</f>
        <v>0</v>
      </c>
      <c r="L28" s="48">
        <f>COUNTIF(L8:L27,"未")</f>
        <v>0</v>
      </c>
      <c r="N28" s="4" t="s">
        <v>122</v>
      </c>
    </row>
    <row r="29" spans="1:14">
      <c r="B29" s="88" t="s">
        <v>90</v>
      </c>
      <c r="C29" s="89">
        <f>COUNTIF($B$8:$B$27,"30MS")</f>
        <v>0</v>
      </c>
      <c r="D29" s="88" t="s">
        <v>96</v>
      </c>
      <c r="E29" s="89">
        <f>COUNTIF($B$8:$B$27,"60MS")</f>
        <v>0</v>
      </c>
      <c r="F29" s="88" t="s">
        <v>101</v>
      </c>
      <c r="G29" s="89">
        <f>COUNTIF($B$8:$B$27,"35WS")</f>
        <v>0</v>
      </c>
      <c r="H29" s="88" t="s">
        <v>120</v>
      </c>
      <c r="I29" s="89">
        <f>COUNTIF($B$8:$B$27,"65WS")</f>
        <v>0</v>
      </c>
      <c r="J29" s="98" t="s">
        <v>68</v>
      </c>
      <c r="K29" s="99">
        <f>COUNTIF(B8:B27,"*MS*")</f>
        <v>0</v>
      </c>
      <c r="N29" s="4" t="s">
        <v>123</v>
      </c>
    </row>
    <row r="30" spans="1:14" ht="18.5" thickBot="1">
      <c r="A30" s="3"/>
      <c r="B30" s="90" t="s">
        <v>91</v>
      </c>
      <c r="C30" s="91">
        <f>COUNTIF($B$8:$B$27,"35MS")</f>
        <v>0</v>
      </c>
      <c r="D30" s="90" t="s">
        <v>97</v>
      </c>
      <c r="E30" s="91">
        <f>COUNTIF($B$8:$B$27,"65MS")</f>
        <v>0</v>
      </c>
      <c r="F30" s="90" t="s">
        <v>102</v>
      </c>
      <c r="G30" s="91">
        <f>COUNTIF($B$8:$B$27,"40WS")</f>
        <v>0</v>
      </c>
      <c r="H30" s="90" t="s">
        <v>121</v>
      </c>
      <c r="I30" s="91">
        <f>COUNTIF($B$8:$B$27,"70WS")</f>
        <v>0</v>
      </c>
      <c r="J30" s="100" t="s">
        <v>69</v>
      </c>
      <c r="K30" s="101">
        <f>COUNTIF(B8:B27,"*WS*")</f>
        <v>0</v>
      </c>
    </row>
    <row r="31" spans="1:14">
      <c r="A31" s="3"/>
      <c r="B31" s="90" t="s">
        <v>92</v>
      </c>
      <c r="C31" s="91">
        <f>COUNTIF($B$8:$B$27,"40MS")</f>
        <v>0</v>
      </c>
      <c r="D31" s="90" t="s">
        <v>98</v>
      </c>
      <c r="E31" s="91">
        <f>COUNTIF($B$8:$B$27,"70MS")</f>
        <v>0</v>
      </c>
      <c r="F31" s="90" t="s">
        <v>103</v>
      </c>
      <c r="G31" s="91">
        <f>COUNTIF($B$8:$B$27,"45WS")</f>
        <v>0</v>
      </c>
      <c r="H31" s="90" t="s">
        <v>122</v>
      </c>
      <c r="I31" s="91">
        <f>COUNTIF($B$8:$B$27,"75WS")</f>
        <v>0</v>
      </c>
      <c r="J31" s="94"/>
      <c r="K31" s="94"/>
    </row>
    <row r="32" spans="1:14" ht="18.5" thickBot="1">
      <c r="A32" s="3"/>
      <c r="B32" s="90" t="s">
        <v>93</v>
      </c>
      <c r="C32" s="91">
        <f>COUNTIF($B$8:$B$27,"45MS")</f>
        <v>0</v>
      </c>
      <c r="D32" s="90" t="s">
        <v>99</v>
      </c>
      <c r="E32" s="91">
        <f>COUNTIF($B$8:$B$27,"75MS")</f>
        <v>0</v>
      </c>
      <c r="F32" s="90" t="s">
        <v>104</v>
      </c>
      <c r="G32" s="91">
        <f>COUNTIF($B$8:$B$27,"50WS")</f>
        <v>0</v>
      </c>
      <c r="H32" s="92" t="s">
        <v>123</v>
      </c>
      <c r="I32" s="93">
        <f>COUNTIF($B$8:$B$27,"80WS")</f>
        <v>0</v>
      </c>
      <c r="J32" s="94"/>
      <c r="K32" s="94"/>
    </row>
    <row r="33" spans="1:11" ht="18.5" thickBot="1">
      <c r="A33" s="3"/>
      <c r="B33" s="96" t="s">
        <v>94</v>
      </c>
      <c r="C33" s="91">
        <f>COUNTIF($B$8:$B$27,"50MS")</f>
        <v>0</v>
      </c>
      <c r="D33" s="90" t="s">
        <v>124</v>
      </c>
      <c r="E33" s="91">
        <f>COUNTIF($B$8:$B$27,"80MS")</f>
        <v>0</v>
      </c>
      <c r="F33" s="96" t="s">
        <v>105</v>
      </c>
      <c r="G33" s="91">
        <f>COUNTIF($B$8:$B$27,"55WS")</f>
        <v>0</v>
      </c>
      <c r="H33" s="106"/>
      <c r="I33" s="107"/>
      <c r="J33" s="94"/>
      <c r="K33" s="94"/>
    </row>
    <row r="34" spans="1:11" ht="18.5" thickBot="1">
      <c r="A34" s="3"/>
      <c r="B34" s="92" t="s">
        <v>95</v>
      </c>
      <c r="C34" s="93">
        <f>COUNTIF($B$8:$B$27,"55MS")</f>
        <v>0</v>
      </c>
      <c r="D34" s="92" t="s">
        <v>100</v>
      </c>
      <c r="E34" s="93">
        <f>COUNTIF($B$8:$B$27,"30WS")</f>
        <v>0</v>
      </c>
      <c r="F34" s="92" t="s">
        <v>106</v>
      </c>
      <c r="G34" s="95">
        <f>COUNTIF($B$8:$B$27,"60WS")</f>
        <v>0</v>
      </c>
      <c r="H34" s="178" t="s">
        <v>54</v>
      </c>
      <c r="I34" s="179">
        <f>SUM(C29:C34)+SUM(E29:E34)+SUM(G29:G34)+SUM(I29:I32)</f>
        <v>0</v>
      </c>
      <c r="J34" s="94"/>
      <c r="K34" s="94"/>
    </row>
    <row r="35" spans="1:11">
      <c r="A35" s="3"/>
      <c r="B35" s="3"/>
      <c r="E35" s="4"/>
      <c r="F35" s="4"/>
      <c r="G35" s="3"/>
      <c r="H35" s="3"/>
      <c r="I35" s="3"/>
      <c r="J35" s="3"/>
      <c r="K35" s="3"/>
    </row>
    <row r="36" spans="1:11">
      <c r="A36" s="3"/>
      <c r="B36" s="3"/>
      <c r="E36" s="4"/>
      <c r="F36" s="4"/>
      <c r="G36" s="3"/>
      <c r="H36" s="3"/>
      <c r="I36" s="3"/>
      <c r="J36" s="3"/>
      <c r="K36" s="3"/>
    </row>
    <row r="37" spans="1:11">
      <c r="A37" s="3"/>
      <c r="B37" s="3"/>
      <c r="E37" s="4"/>
      <c r="F37" s="4"/>
      <c r="G37" s="3"/>
      <c r="H37" s="3"/>
      <c r="I37" s="3"/>
      <c r="J37" s="3"/>
      <c r="K37" s="3"/>
    </row>
    <row r="38" spans="1:11">
      <c r="A38" s="3"/>
      <c r="B38" s="3"/>
      <c r="E38" s="4"/>
      <c r="F38" s="4"/>
      <c r="G38" s="3"/>
      <c r="H38" s="3"/>
      <c r="I38" s="3"/>
      <c r="J38" s="3"/>
      <c r="K38" s="3"/>
    </row>
    <row r="39" spans="1:11">
      <c r="A39" s="3"/>
      <c r="B39" s="3"/>
      <c r="E39" s="4"/>
      <c r="F39" s="4"/>
      <c r="G39" s="3"/>
      <c r="H39" s="3"/>
      <c r="I39" s="3"/>
      <c r="J39" s="3"/>
      <c r="K39" s="3"/>
    </row>
    <row r="40" spans="1:11">
      <c r="A40" s="3"/>
      <c r="B40" s="3"/>
      <c r="E40" s="4"/>
      <c r="F40" s="4"/>
      <c r="G40" s="3"/>
      <c r="H40" s="3"/>
      <c r="I40" s="3"/>
      <c r="J40" s="3"/>
      <c r="K40" s="3"/>
    </row>
    <row r="41" spans="1:11">
      <c r="A41" s="3"/>
      <c r="B41" s="3"/>
      <c r="E41" s="4"/>
      <c r="F41" s="4"/>
      <c r="G41" s="3"/>
      <c r="H41" s="3"/>
      <c r="I41" s="3"/>
      <c r="J41" s="3"/>
      <c r="K41" s="3"/>
    </row>
    <row r="42" spans="1:11">
      <c r="A42" s="3"/>
      <c r="B42" s="3"/>
      <c r="E42" s="4"/>
      <c r="F42" s="4"/>
      <c r="G42" s="3"/>
      <c r="H42" s="3"/>
      <c r="I42" s="3"/>
      <c r="J42" s="3"/>
      <c r="K42" s="3"/>
    </row>
    <row r="43" spans="1:11">
      <c r="A43" s="3"/>
      <c r="B43" s="3"/>
      <c r="E43" s="4"/>
      <c r="F43" s="4"/>
      <c r="G43" s="3"/>
      <c r="H43" s="3"/>
      <c r="I43" s="3"/>
      <c r="J43" s="3"/>
      <c r="K43" s="3"/>
    </row>
    <row r="44" spans="1:11">
      <c r="A44" s="3"/>
      <c r="B44" s="3"/>
      <c r="E44" s="4"/>
      <c r="F44" s="4"/>
      <c r="G44" s="3"/>
      <c r="H44" s="3"/>
      <c r="I44" s="3"/>
      <c r="J44" s="3"/>
      <c r="K44" s="3"/>
    </row>
    <row r="45" spans="1:11">
      <c r="A45" s="3"/>
      <c r="B45" s="3"/>
      <c r="E45" s="4"/>
      <c r="F45" s="4"/>
      <c r="G45" s="3"/>
      <c r="H45" s="3"/>
      <c r="I45" s="3"/>
      <c r="J45" s="3"/>
      <c r="K45" s="3"/>
    </row>
    <row r="46" spans="1:11">
      <c r="A46" s="3"/>
      <c r="B46" s="3"/>
      <c r="E46" s="4"/>
      <c r="F46" s="4"/>
      <c r="G46" s="3"/>
      <c r="H46" s="3"/>
      <c r="I46" s="3"/>
      <c r="J46" s="3"/>
      <c r="K46" s="3"/>
    </row>
    <row r="47" spans="1:11">
      <c r="A47" s="3"/>
      <c r="B47" s="3"/>
      <c r="E47" s="4"/>
      <c r="F47" s="4"/>
      <c r="G47" s="3"/>
      <c r="H47" s="3"/>
      <c r="I47" s="3"/>
      <c r="J47" s="3"/>
      <c r="K47" s="3"/>
    </row>
    <row r="48" spans="1:11">
      <c r="A48" s="3"/>
      <c r="B48" s="3"/>
      <c r="E48" s="4"/>
      <c r="F48" s="4"/>
      <c r="G48" s="3"/>
      <c r="H48" s="3"/>
      <c r="I48" s="3"/>
      <c r="J48" s="3"/>
      <c r="K48" s="3"/>
    </row>
    <row r="49" spans="1:14">
      <c r="A49" s="3"/>
      <c r="B49" s="3"/>
      <c r="E49" s="4"/>
      <c r="F49" s="4"/>
      <c r="G49" s="3"/>
      <c r="H49" s="3"/>
      <c r="I49" s="3"/>
      <c r="J49" s="3"/>
      <c r="K49" s="3"/>
    </row>
    <row r="50" spans="1:14">
      <c r="A50" s="3"/>
      <c r="B50" s="3"/>
      <c r="E50" s="4"/>
      <c r="F50" s="4"/>
      <c r="G50" s="3"/>
      <c r="H50" s="3"/>
      <c r="I50" s="3"/>
      <c r="J50" s="3"/>
      <c r="K50" s="3"/>
    </row>
    <row r="51" spans="1:14">
      <c r="A51" s="3"/>
      <c r="B51" s="3"/>
      <c r="E51" s="4"/>
      <c r="F51" s="4"/>
      <c r="G51" s="3"/>
      <c r="H51" s="3"/>
      <c r="I51" s="3"/>
      <c r="J51" s="3"/>
      <c r="K51" s="3"/>
    </row>
    <row r="52" spans="1:14">
      <c r="A52" s="3"/>
      <c r="B52" s="3"/>
      <c r="C52" s="113"/>
      <c r="D52" s="113"/>
      <c r="E52" s="4"/>
      <c r="F52" s="4"/>
      <c r="G52" s="3"/>
      <c r="H52" s="3"/>
      <c r="I52" s="3"/>
      <c r="J52" s="3"/>
      <c r="K52" s="3"/>
    </row>
    <row r="53" spans="1:14">
      <c r="A53" s="3"/>
      <c r="B53" s="3"/>
      <c r="C53" s="4"/>
      <c r="D53" s="4"/>
      <c r="E53" s="4"/>
      <c r="F53" s="4"/>
      <c r="G53" s="3"/>
      <c r="H53" s="3"/>
      <c r="I53" s="3"/>
      <c r="J53" s="3"/>
      <c r="K53" s="3"/>
    </row>
    <row r="54" spans="1:14">
      <c r="A54" s="3"/>
      <c r="B54" s="3"/>
      <c r="C54" s="4"/>
      <c r="D54" s="4"/>
      <c r="E54" s="4"/>
      <c r="F54" s="4"/>
      <c r="G54" s="3"/>
      <c r="H54" s="3"/>
      <c r="I54" s="3"/>
      <c r="J54" s="3"/>
      <c r="K54" s="3"/>
    </row>
    <row r="55" spans="1:14">
      <c r="A55" s="3"/>
      <c r="B55" s="3"/>
      <c r="C55" s="4"/>
      <c r="D55" s="4"/>
      <c r="E55" s="4"/>
      <c r="F55" s="4"/>
      <c r="G55" s="3"/>
      <c r="H55" s="3"/>
      <c r="I55" s="3"/>
      <c r="J55" s="3"/>
      <c r="K55" s="3"/>
    </row>
    <row r="56" spans="1:14">
      <c r="A56" s="3"/>
      <c r="B56" s="3"/>
      <c r="C56" s="4"/>
      <c r="D56" s="4"/>
      <c r="E56" s="4"/>
      <c r="F56" s="4"/>
      <c r="G56" s="3"/>
      <c r="H56" s="3"/>
      <c r="I56" s="3"/>
      <c r="J56" s="3"/>
      <c r="K56" s="3"/>
    </row>
    <row r="57" spans="1:14">
      <c r="A57" s="3"/>
      <c r="B57" s="3"/>
      <c r="C57" s="4"/>
      <c r="D57" s="4"/>
      <c r="E57" s="4"/>
      <c r="F57" s="4"/>
      <c r="G57" s="3"/>
      <c r="H57" s="3"/>
      <c r="I57" s="3"/>
      <c r="J57" s="3"/>
      <c r="K57" s="3"/>
    </row>
    <row r="58" spans="1:14">
      <c r="A58" s="3"/>
      <c r="B58" s="3"/>
      <c r="C58" s="4"/>
      <c r="D58" s="4"/>
      <c r="E58" s="4"/>
      <c r="F58" s="4"/>
      <c r="G58" s="3"/>
      <c r="H58" s="3"/>
      <c r="I58" s="3"/>
      <c r="J58" s="3"/>
      <c r="K58" s="3"/>
    </row>
    <row r="59" spans="1:14">
      <c r="A59" s="3"/>
      <c r="B59" s="3"/>
      <c r="C59" s="4"/>
      <c r="D59" s="4"/>
      <c r="E59" s="4"/>
      <c r="F59" s="4"/>
      <c r="G59" s="3"/>
      <c r="H59" s="3"/>
      <c r="I59" s="3"/>
      <c r="J59" s="3"/>
      <c r="K59" s="3"/>
    </row>
    <row r="60" spans="1:14">
      <c r="A60" s="3"/>
      <c r="B60" s="3"/>
      <c r="C60" s="4"/>
      <c r="D60" s="4"/>
      <c r="E60" s="4"/>
      <c r="F60" s="4"/>
      <c r="G60" s="3"/>
      <c r="H60" s="3"/>
      <c r="I60" s="3"/>
      <c r="J60" s="3"/>
      <c r="K60" s="3"/>
    </row>
    <row r="61" spans="1:14">
      <c r="A61" s="3"/>
      <c r="B61" s="3"/>
      <c r="C61" s="4"/>
      <c r="D61" s="4"/>
      <c r="E61" s="4"/>
      <c r="F61" s="4"/>
      <c r="G61" s="3"/>
      <c r="H61" s="3"/>
      <c r="I61" s="3"/>
      <c r="J61" s="3"/>
      <c r="K61" s="3"/>
    </row>
    <row r="62" spans="1:14">
      <c r="A62" s="3"/>
      <c r="B62" s="3"/>
      <c r="C62" s="4"/>
      <c r="D62" s="4"/>
      <c r="E62" s="4"/>
      <c r="F62" s="4"/>
      <c r="G62" s="3"/>
      <c r="H62" s="3"/>
      <c r="I62" s="3"/>
      <c r="J62" s="3"/>
      <c r="K62" s="3"/>
    </row>
    <row r="63" spans="1:14">
      <c r="A63" s="3"/>
      <c r="B63" s="3"/>
      <c r="C63" s="4"/>
      <c r="D63" s="4"/>
      <c r="E63" s="4"/>
      <c r="F63" s="4"/>
      <c r="G63" s="3"/>
      <c r="H63" s="3"/>
      <c r="I63" s="3"/>
      <c r="J63" s="3"/>
      <c r="K63" s="3"/>
      <c r="N63" s="4"/>
    </row>
    <row r="64" spans="1:14">
      <c r="A64" s="3"/>
      <c r="B64" s="3"/>
      <c r="C64" s="113"/>
      <c r="D64" s="113"/>
      <c r="E64" s="4"/>
      <c r="F64" s="4"/>
      <c r="G64" s="3"/>
      <c r="H64" s="3"/>
      <c r="I64" s="3"/>
      <c r="J64" s="3"/>
      <c r="K64" s="3"/>
    </row>
    <row r="65" spans="1:14">
      <c r="A65" s="3"/>
      <c r="B65" s="3"/>
      <c r="F65" s="4"/>
      <c r="G65" s="3"/>
      <c r="H65" s="3"/>
      <c r="I65" s="3"/>
      <c r="J65" s="3"/>
      <c r="K65" s="3"/>
    </row>
    <row r="66" spans="1:14">
      <c r="A66" s="3"/>
      <c r="B66" s="3"/>
      <c r="F66" s="4"/>
      <c r="G66" s="3"/>
      <c r="H66" s="3"/>
      <c r="I66" s="3"/>
      <c r="J66" s="3"/>
      <c r="K66" s="3"/>
    </row>
    <row r="67" spans="1:14" s="4" customFormat="1" ht="15" customHeight="1">
      <c r="C67"/>
      <c r="D67"/>
      <c r="E67"/>
      <c r="N67"/>
    </row>
  </sheetData>
  <mergeCells count="9">
    <mergeCell ref="O5:S6"/>
    <mergeCell ref="C64:D64"/>
    <mergeCell ref="A1:J1"/>
    <mergeCell ref="E2:G2"/>
    <mergeCell ref="I2:L2"/>
    <mergeCell ref="E3:G3"/>
    <mergeCell ref="I3:L3"/>
    <mergeCell ref="A5:L5"/>
    <mergeCell ref="C52:D52"/>
  </mergeCells>
  <phoneticPr fontId="1"/>
  <conditionalFormatting sqref="C29:C34">
    <cfRule type="cellIs" dxfId="17" priority="5" operator="greaterThan">
      <formula>0</formula>
    </cfRule>
  </conditionalFormatting>
  <conditionalFormatting sqref="E29:E34">
    <cfRule type="cellIs" dxfId="16" priority="4" operator="greaterThan">
      <formula>0</formula>
    </cfRule>
  </conditionalFormatting>
  <conditionalFormatting sqref="G8:G27">
    <cfRule type="containsText" dxfId="15" priority="7" operator="containsText" text="ふるさと">
      <formula>NOT(ISERROR(SEARCH("ふるさと",G8)))</formula>
    </cfRule>
  </conditionalFormatting>
  <conditionalFormatting sqref="G29:G34">
    <cfRule type="cellIs" dxfId="14" priority="3" operator="greaterThan">
      <formula>0</formula>
    </cfRule>
  </conditionalFormatting>
  <conditionalFormatting sqref="I29:I33">
    <cfRule type="cellIs" dxfId="13" priority="2" operator="greaterThan">
      <formula>0</formula>
    </cfRule>
  </conditionalFormatting>
  <conditionalFormatting sqref="L8:L27">
    <cfRule type="containsText" dxfId="12" priority="6" operator="containsText" text="未">
      <formula>NOT(ISERROR(SEARCH("未",L8)))</formula>
    </cfRule>
  </conditionalFormatting>
  <conditionalFormatting sqref="K8:K27">
    <cfRule type="containsText" dxfId="11" priority="1" operator="containsText" text="可">
      <formula>NOT(ISERROR(SEARCH("可",K8)))</formula>
    </cfRule>
  </conditionalFormatting>
  <dataValidations count="9">
    <dataValidation type="list" allowBlank="1" showInputMessage="1" showErrorMessage="1" promptTitle="登録地区" prompt="登録地区を選択してください" sqref="M12:M18" xr:uid="{04C50192-E992-4DF1-8D69-67F84AE19214}">
      <formula1>$M$12:$M$18</formula1>
    </dataValidation>
    <dataValidation type="list" allowBlank="1" showInputMessage="1" showErrorMessage="1" promptTitle="種別" prompt="MS　WS　を選択してください" sqref="M20:M21 B7" xr:uid="{EF6734EB-CEB1-4F1A-8467-E73F8DB5C459}">
      <formula1>$M$20:$M$21</formula1>
    </dataValidation>
    <dataValidation allowBlank="1" showErrorMessage="1" promptTitle="種別" prompt="参加費金額_x000a_を入力してください。" sqref="F8:F27" xr:uid="{D74B08EC-F981-4B61-AF9D-BB2111460368}"/>
    <dataValidation type="list" allowBlank="1" showInputMessage="1" showErrorMessage="1" prompt="▼をクリックして選択して下さい" sqref="G8" xr:uid="{ECD489E3-B7E3-4F2B-8241-3F2C6E33EFDD}">
      <formula1>$M$12:$M$18</formula1>
    </dataValidation>
    <dataValidation type="list" allowBlank="1" showInputMessage="1" showErrorMessage="1" sqref="G9:G27" xr:uid="{A3599539-6509-4860-AE85-2CC87930D943}">
      <formula1>$M$12:$M$18</formula1>
    </dataValidation>
    <dataValidation type="list" allowBlank="1" showInputMessage="1" showErrorMessage="1" sqref="K7:K27" xr:uid="{D62A5BBD-14C2-4C52-94CB-B94B3812D298}">
      <formula1>$M$26:$M$27</formula1>
    </dataValidation>
    <dataValidation type="list" allowBlank="1" showInputMessage="1" showErrorMessage="1" sqref="L8:L27" xr:uid="{B864D775-AFA1-4DB0-BAC2-CEB887CB090B}">
      <formula1>$M$23:$M$24</formula1>
    </dataValidation>
    <dataValidation type="list" allowBlank="1" showInputMessage="1" showErrorMessage="1" prompt="▼をクリックして選択して下さい_x000a_" sqref="B8" xr:uid="{49466572-CA42-469F-B963-A8573433E7A3}">
      <formula1>$N$8:$N$29</formula1>
    </dataValidation>
    <dataValidation type="list" allowBlank="1" showInputMessage="1" showErrorMessage="1" sqref="B9:B27" xr:uid="{39E90185-917F-442E-AEF6-9241D6DB8AF4}">
      <formula1>$N$8:$N$29</formula1>
    </dataValidation>
  </dataValidations>
  <printOptions horizontalCentered="1"/>
  <pageMargins left="0.23622047244094491" right="0.23622047244094491" top="0.15748031496062992" bottom="0.35433070866141736" header="0.11811023622047245" footer="0.31496062992125984"/>
  <pageSetup paperSize="9" scale="85" fitToWidth="0" orientation="landscape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B9F3-920E-4C05-A478-ED3EEB7E7D38}">
  <sheetPr codeName="Sheet1"/>
  <dimension ref="B2:I38"/>
  <sheetViews>
    <sheetView view="pageBreakPreview" zoomScaleNormal="100" zoomScaleSheetLayoutView="100" workbookViewId="0">
      <selection activeCell="M9" sqref="M9"/>
    </sheetView>
  </sheetViews>
  <sheetFormatPr defaultColWidth="8.9140625" defaultRowHeight="15.75" customHeight="1"/>
  <cols>
    <col min="1" max="1" width="4.5" style="4" customWidth="1"/>
    <col min="2" max="2" width="8.9140625" style="4"/>
    <col min="3" max="4" width="14.25" style="4" customWidth="1"/>
    <col min="5" max="5" width="2.4140625" style="4" customWidth="1"/>
    <col min="6" max="6" width="13.33203125" style="4" customWidth="1"/>
    <col min="7" max="7" width="13.25" style="4" customWidth="1"/>
    <col min="8" max="8" width="10.33203125" style="4" customWidth="1"/>
    <col min="9" max="9" width="8.25" style="4" customWidth="1"/>
    <col min="10" max="16384" width="8.9140625" style="4"/>
  </cols>
  <sheetData>
    <row r="2" spans="2:9" ht="15.75" customHeight="1">
      <c r="B2" s="141" t="str">
        <f>①ダブルス!A1</f>
        <v>２０２６ 福島県総合シニアバドミントン選手権大会申し込み書</v>
      </c>
      <c r="C2" s="141"/>
      <c r="D2" s="141"/>
      <c r="E2" s="141"/>
      <c r="F2" s="141"/>
      <c r="G2" s="141"/>
      <c r="H2" s="141"/>
    </row>
    <row r="3" spans="2:9" ht="15.75" customHeight="1">
      <c r="F3" s="146" t="s">
        <v>48</v>
      </c>
      <c r="G3" s="146"/>
    </row>
    <row r="4" spans="2:9" ht="15.75" customHeight="1">
      <c r="F4" s="7"/>
      <c r="G4" s="7"/>
    </row>
    <row r="5" spans="2:9" ht="15.75" customHeight="1">
      <c r="B5" s="4" t="s">
        <v>29</v>
      </c>
      <c r="C5" s="145">
        <f ca="1">NOW()</f>
        <v>46117.500237268519</v>
      </c>
      <c r="D5" s="145"/>
    </row>
    <row r="6" spans="2:9" ht="15.75" customHeight="1" thickBot="1"/>
    <row r="7" spans="2:9" ht="15.75" customHeight="1" thickBot="1">
      <c r="C7" s="13" t="s">
        <v>43</v>
      </c>
    </row>
    <row r="8" spans="2:9" ht="15.75" customHeight="1">
      <c r="C8" s="12" t="s">
        <v>44</v>
      </c>
      <c r="D8" s="142">
        <f>①ダブルス!E3</f>
        <v>0</v>
      </c>
      <c r="E8" s="143"/>
      <c r="F8" s="144"/>
      <c r="G8" s="28"/>
    </row>
    <row r="9" spans="2:9" ht="15.75" customHeight="1">
      <c r="C9" s="11" t="s">
        <v>45</v>
      </c>
      <c r="D9" s="128">
        <f>①ダブルス!E2</f>
        <v>0</v>
      </c>
      <c r="E9" s="129"/>
      <c r="F9" s="130"/>
      <c r="G9" s="29"/>
      <c r="H9" s="30"/>
    </row>
    <row r="10" spans="2:9" ht="15.75" customHeight="1">
      <c r="C10" s="11" t="s">
        <v>30</v>
      </c>
      <c r="D10" s="142">
        <f>①ダブルス!I2</f>
        <v>0</v>
      </c>
      <c r="E10" s="143"/>
      <c r="F10" s="144"/>
      <c r="G10" s="28"/>
    </row>
    <row r="11" spans="2:9" ht="15.75" customHeight="1">
      <c r="C11" s="11" t="s">
        <v>46</v>
      </c>
      <c r="D11" s="142">
        <f>①ダブルス!I3</f>
        <v>0</v>
      </c>
      <c r="E11" s="143"/>
      <c r="F11" s="144"/>
      <c r="G11" s="28"/>
    </row>
    <row r="15" spans="2:9" ht="15.75" customHeight="1">
      <c r="B15" s="4" t="s">
        <v>31</v>
      </c>
    </row>
    <row r="16" spans="2:9" ht="15.75" customHeight="1">
      <c r="C16" s="140"/>
      <c r="D16" s="140"/>
      <c r="E16" s="140"/>
      <c r="F16" s="140"/>
      <c r="G16" s="140"/>
      <c r="H16" s="140"/>
      <c r="I16" s="140"/>
    </row>
    <row r="17" spans="2:8" ht="15.75" customHeight="1">
      <c r="C17" s="140" t="s">
        <v>32</v>
      </c>
      <c r="D17" s="140"/>
      <c r="E17" s="140"/>
      <c r="F17" s="140"/>
      <c r="G17" s="140"/>
      <c r="H17" s="140"/>
    </row>
    <row r="19" spans="2:8" ht="15.75" customHeight="1">
      <c r="C19" s="133" t="s">
        <v>125</v>
      </c>
      <c r="D19" s="133"/>
      <c r="E19" s="133"/>
      <c r="F19" s="133"/>
      <c r="G19" s="133"/>
      <c r="H19" s="133"/>
    </row>
    <row r="20" spans="2:8" ht="15.75" customHeight="1">
      <c r="B20" s="7"/>
      <c r="C20" s="133" t="s">
        <v>126</v>
      </c>
      <c r="D20" s="133"/>
      <c r="E20" s="133"/>
      <c r="F20" s="133"/>
      <c r="G20" s="133"/>
      <c r="H20" s="133"/>
    </row>
    <row r="21" spans="2:8" ht="15.75" customHeight="1">
      <c r="B21" s="7"/>
      <c r="C21" s="133" t="s">
        <v>127</v>
      </c>
      <c r="D21" s="133"/>
      <c r="E21" s="133"/>
      <c r="F21" s="133"/>
      <c r="G21" s="133"/>
      <c r="H21" s="133"/>
    </row>
    <row r="22" spans="2:8" ht="15.75" customHeight="1">
      <c r="B22" s="4" t="s">
        <v>41</v>
      </c>
      <c r="C22" s="133" t="s">
        <v>128</v>
      </c>
      <c r="D22" s="133"/>
      <c r="E22" s="133"/>
      <c r="F22" s="133"/>
      <c r="G22" s="133"/>
      <c r="H22" s="133"/>
    </row>
    <row r="23" spans="2:8" ht="15.75" customHeight="1">
      <c r="C23" s="108"/>
      <c r="D23" s="108"/>
      <c r="E23" s="108"/>
      <c r="F23" s="108"/>
      <c r="G23" s="108"/>
      <c r="H23" s="108"/>
    </row>
    <row r="24" spans="2:8" ht="15.75" customHeight="1" thickBot="1">
      <c r="B24" s="8"/>
      <c r="C24" s="8"/>
      <c r="D24" s="8"/>
      <c r="E24" s="8"/>
      <c r="F24" s="8"/>
    </row>
    <row r="25" spans="2:8" ht="15.75" customHeight="1" thickBot="1">
      <c r="C25" s="55" t="s">
        <v>33</v>
      </c>
      <c r="D25" s="56" t="s">
        <v>34</v>
      </c>
      <c r="E25" s="7"/>
      <c r="F25" s="55" t="s">
        <v>33</v>
      </c>
      <c r="G25" s="56" t="s">
        <v>35</v>
      </c>
      <c r="H25" s="7"/>
    </row>
    <row r="26" spans="2:8" ht="15.75" customHeight="1" thickTop="1">
      <c r="C26" s="5" t="s">
        <v>36</v>
      </c>
      <c r="D26" s="26">
        <f>②シングルス!K29</f>
        <v>0</v>
      </c>
      <c r="E26" s="7"/>
      <c r="F26" s="5" t="s">
        <v>36</v>
      </c>
      <c r="G26" s="63">
        <f>D26*2000</f>
        <v>0</v>
      </c>
      <c r="H26" s="62"/>
    </row>
    <row r="27" spans="2:8" ht="15.75" customHeight="1">
      <c r="C27" s="6" t="s">
        <v>37</v>
      </c>
      <c r="D27" s="26">
        <f>②シングルス!K30</f>
        <v>0</v>
      </c>
      <c r="E27" s="7"/>
      <c r="F27" s="6" t="s">
        <v>37</v>
      </c>
      <c r="G27" s="63">
        <f t="shared" ref="G27" si="0">D27*2000</f>
        <v>0</v>
      </c>
      <c r="H27" s="62"/>
    </row>
    <row r="28" spans="2:8" ht="15.75" customHeight="1">
      <c r="C28" s="6" t="s">
        <v>38</v>
      </c>
      <c r="D28" s="26">
        <f>①ダブルス!M30</f>
        <v>0</v>
      </c>
      <c r="E28" s="7"/>
      <c r="F28" s="6" t="s">
        <v>38</v>
      </c>
      <c r="G28" s="63">
        <f>D28*4000</f>
        <v>0</v>
      </c>
      <c r="H28" s="62"/>
    </row>
    <row r="29" spans="2:8" ht="15.75" customHeight="1">
      <c r="C29" s="6" t="s">
        <v>39</v>
      </c>
      <c r="D29" s="26">
        <f>①ダブルス!M31</f>
        <v>0</v>
      </c>
      <c r="E29" s="7"/>
      <c r="F29" s="6" t="s">
        <v>39</v>
      </c>
      <c r="G29" s="63">
        <f>D29*4000</f>
        <v>0</v>
      </c>
      <c r="H29" s="62"/>
    </row>
    <row r="30" spans="2:8" ht="15.75" customHeight="1" thickBot="1">
      <c r="C30" s="14" t="s">
        <v>40</v>
      </c>
      <c r="D30" s="27">
        <f>①ダブルス!M32</f>
        <v>0</v>
      </c>
      <c r="E30" s="7"/>
      <c r="F30" s="14" t="s">
        <v>40</v>
      </c>
      <c r="G30" s="63">
        <f>D30*4000</f>
        <v>0</v>
      </c>
      <c r="H30" s="62"/>
    </row>
    <row r="31" spans="2:8" ht="15.75" customHeight="1" thickTop="1" thickBot="1">
      <c r="C31" s="64" t="s">
        <v>53</v>
      </c>
      <c r="D31" s="66">
        <f>①ダブルス!L29+②シングルス!L28</f>
        <v>0</v>
      </c>
      <c r="E31" s="7"/>
      <c r="F31" s="64" t="s">
        <v>53</v>
      </c>
      <c r="G31" s="65">
        <f>D31*2600</f>
        <v>0</v>
      </c>
    </row>
    <row r="32" spans="2:8" ht="15.75" customHeight="1" thickTop="1">
      <c r="F32" s="31"/>
    </row>
    <row r="33" spans="3:7" ht="15.75" customHeight="1">
      <c r="F33" s="67" t="s">
        <v>55</v>
      </c>
      <c r="G33" s="68">
        <f>SUM(G26:G31)</f>
        <v>0</v>
      </c>
    </row>
    <row r="34" spans="3:7" ht="15.75" customHeight="1">
      <c r="F34" s="110"/>
      <c r="G34" s="109"/>
    </row>
    <row r="35" spans="3:7" ht="15.75" customHeight="1" thickBot="1"/>
    <row r="36" spans="3:7" ht="15.75" customHeight="1" thickTop="1">
      <c r="C36" s="134" t="s">
        <v>56</v>
      </c>
      <c r="D36" s="136"/>
      <c r="E36" s="136"/>
      <c r="F36" s="137"/>
    </row>
    <row r="37" spans="3:7" ht="15.75" customHeight="1" thickBot="1">
      <c r="C37" s="135"/>
      <c r="D37" s="138"/>
      <c r="E37" s="138"/>
      <c r="F37" s="139"/>
    </row>
    <row r="38" spans="3:7" ht="15.75" customHeight="1" thickTop="1"/>
  </sheetData>
  <sheetProtection algorithmName="SHA-512" hashValue="Cy5MjB+4WIhgdhHiuELIfpTox/je1lqt/89zNy0FvnTtLw/OKIWIS73K38SrkL9kxTP2mFB/6AKQl7vPLhvh8Q==" saltValue="ovm5j9HCoi4Kg6/6d4kxaQ==" spinCount="100000" sheet="1" objects="1" scenarios="1"/>
  <mergeCells count="15">
    <mergeCell ref="C17:H17"/>
    <mergeCell ref="B2:H2"/>
    <mergeCell ref="D8:F8"/>
    <mergeCell ref="D9:F9"/>
    <mergeCell ref="D10:F10"/>
    <mergeCell ref="D11:F11"/>
    <mergeCell ref="C5:D5"/>
    <mergeCell ref="F3:G3"/>
    <mergeCell ref="C16:I16"/>
    <mergeCell ref="C19:H19"/>
    <mergeCell ref="C20:H20"/>
    <mergeCell ref="C22:H22"/>
    <mergeCell ref="C36:C37"/>
    <mergeCell ref="D36:F37"/>
    <mergeCell ref="C21:H21"/>
  </mergeCells>
  <phoneticPr fontId="1"/>
  <pageMargins left="0.25" right="0.25" top="0.75" bottom="0.75" header="0.3" footer="0.3"/>
  <pageSetup paperSize="9" fitToHeight="0" orientation="portrait" horizontalDpi="4294967293" verticalDpi="360" r:id="rId1"/>
  <ignoredErrors>
    <ignoredError sqref="C5 D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①ダブルス</vt:lpstr>
      <vt:lpstr>②シングルス</vt:lpstr>
      <vt:lpstr>③参加料集計表</vt:lpstr>
      <vt:lpstr>①ダブルス!Print_Area</vt:lpstr>
      <vt:lpstr>②シングルス!Print_Area</vt:lpstr>
      <vt:lpstr>③参加料集計表!Print_Area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eihou051</dc:creator>
  <cp:lastModifiedBy>貫児 岡田</cp:lastModifiedBy>
  <cp:lastPrinted>2025-05-09T06:28:34Z</cp:lastPrinted>
  <dcterms:created xsi:type="dcterms:W3CDTF">2022-04-06T03:50:34Z</dcterms:created>
  <dcterms:modified xsi:type="dcterms:W3CDTF">2026-04-05T04:11:38Z</dcterms:modified>
</cp:coreProperties>
</file>